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prian.mocan\Desktop\2026\1 acte normative 2026\3 RNP cabaline\4 HG actualizare\1 editabile\"/>
    </mc:Choice>
  </mc:AlternateContent>
  <xr:revisionPtr revIDLastSave="0" documentId="13_ncr:1_{70FD5251-B5F4-46E7-B122-7CD1B7A944CA}" xr6:coauthVersionLast="47" xr6:coauthVersionMax="47" xr10:uidLastSave="{00000000-0000-0000-0000-000000000000}"/>
  <bookViews>
    <workbookView xWindow="-120" yWindow="-120" windowWidth="29040" windowHeight="15720" xr2:uid="{7A278588-7B7B-4DEF-80DA-E81CC69B2019}"/>
  </bookViews>
  <sheets>
    <sheet name="inscriere" sheetId="5" r:id="rId1"/>
    <sheet name="detalierea" sheetId="16" state="hidden" r:id="rId2"/>
  </sheets>
  <definedNames>
    <definedName name="_xlnm._FilterDatabase" localSheetId="1" hidden="1">detalierea!$A$7:$P$23</definedName>
    <definedName name="_xlnm._FilterDatabase" localSheetId="0" hidden="1">inscriere!$A$7:$P$22</definedName>
    <definedName name="_xlnm.Print_Area" localSheetId="1">detalierea!$A$1:$N$23</definedName>
    <definedName name="_xlnm.Print_Area" localSheetId="0">inscriere!$A$1:$N$22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5" l="1"/>
  <c r="Y8" i="5"/>
  <c r="Z8" i="5" s="1"/>
  <c r="AC8" i="5"/>
  <c r="AD8" i="5" s="1"/>
  <c r="AE8" i="5"/>
  <c r="AG8" i="5" s="1"/>
  <c r="AF8" i="5"/>
  <c r="P9" i="5"/>
  <c r="Q9" i="5"/>
  <c r="Y9" i="5"/>
  <c r="Z9" i="5" s="1"/>
  <c r="AC9" i="5"/>
  <c r="AD9" i="5" s="1"/>
  <c r="AE9" i="5"/>
  <c r="AF9" i="5"/>
  <c r="Q10" i="5"/>
  <c r="Y10" i="5"/>
  <c r="Z10" i="5" s="1"/>
  <c r="AC10" i="5"/>
  <c r="AD10" i="5"/>
  <c r="AE10" i="5"/>
  <c r="AG10" i="5" s="1"/>
  <c r="P11" i="5"/>
  <c r="Q11" i="5"/>
  <c r="AC11" i="5"/>
  <c r="AD11" i="5" s="1"/>
  <c r="AE11" i="5"/>
  <c r="AF11" i="5"/>
  <c r="Q12" i="5"/>
  <c r="Y12" i="5" s="1"/>
  <c r="Z12" i="5" s="1"/>
  <c r="AC12" i="5"/>
  <c r="AD12" i="5"/>
  <c r="AE12" i="5"/>
  <c r="AG12" i="5" s="1"/>
  <c r="AF12" i="5"/>
  <c r="Q13" i="5"/>
  <c r="Y13" i="5"/>
  <c r="Z13" i="5" s="1"/>
  <c r="AC13" i="5"/>
  <c r="AD13" i="5" s="1"/>
  <c r="AE13" i="5"/>
  <c r="AF13" i="5"/>
  <c r="AG13" i="5" s="1"/>
  <c r="P14" i="5"/>
  <c r="Y14" i="5" s="1"/>
  <c r="Z14" i="5" s="1"/>
  <c r="AC14" i="5"/>
  <c r="AD14" i="5"/>
  <c r="AE14" i="5"/>
  <c r="AF14" i="5"/>
  <c r="P15" i="5"/>
  <c r="Y15" i="5"/>
  <c r="Z15" i="5" s="1"/>
  <c r="AC15" i="5"/>
  <c r="AD15" i="5" s="1"/>
  <c r="AE15" i="5"/>
  <c r="AF15" i="5"/>
  <c r="AG15" i="5"/>
  <c r="P16" i="5"/>
  <c r="Y16" i="5"/>
  <c r="Z16" i="5" s="1"/>
  <c r="AC16" i="5"/>
  <c r="AD16" i="5" s="1"/>
  <c r="AE16" i="5"/>
  <c r="AF16" i="5"/>
  <c r="AG16" i="5"/>
  <c r="P17" i="5"/>
  <c r="Y17" i="5" s="1"/>
  <c r="Z17" i="5" s="1"/>
  <c r="Q17" i="5"/>
  <c r="AC17" i="5"/>
  <c r="AD17" i="5" s="1"/>
  <c r="AE17" i="5"/>
  <c r="AF17" i="5"/>
  <c r="AG17" i="5" s="1"/>
  <c r="Y18" i="5"/>
  <c r="Z18" i="5" s="1"/>
  <c r="AD18" i="5"/>
  <c r="AE18" i="5"/>
  <c r="AF18" i="5"/>
  <c r="AG18" i="5"/>
  <c r="Q19" i="5"/>
  <c r="Y19" i="5" s="1"/>
  <c r="Z19" i="5" s="1"/>
  <c r="AC19" i="5"/>
  <c r="AD19" i="5"/>
  <c r="AE19" i="5"/>
  <c r="AF19" i="5"/>
  <c r="Y20" i="5"/>
  <c r="Z20" i="5" s="1"/>
  <c r="AC20" i="5"/>
  <c r="AD20" i="5" s="1"/>
  <c r="AE20" i="5"/>
  <c r="AF20" i="5"/>
  <c r="Y21" i="5"/>
  <c r="Z21" i="5" s="1"/>
  <c r="AC21" i="5"/>
  <c r="AD21" i="5" s="1"/>
  <c r="AE21" i="5"/>
  <c r="AF21" i="5"/>
  <c r="AG21" i="5"/>
  <c r="J23" i="16"/>
  <c r="AF22" i="16"/>
  <c r="AE22" i="16"/>
  <c r="AG22" i="16" s="1"/>
  <c r="AC22" i="16"/>
  <c r="AD22" i="16" s="1"/>
  <c r="Y22" i="16"/>
  <c r="Z22" i="16" s="1"/>
  <c r="AF21" i="16"/>
  <c r="AG21" i="16" s="1"/>
  <c r="AE21" i="16"/>
  <c r="AC21" i="16"/>
  <c r="AD21" i="16" s="1"/>
  <c r="Y21" i="16"/>
  <c r="Z21" i="16" s="1"/>
  <c r="AF20" i="16"/>
  <c r="AE20" i="16"/>
  <c r="AG20" i="16" s="1"/>
  <c r="AD20" i="16"/>
  <c r="AC20" i="16"/>
  <c r="Y20" i="16"/>
  <c r="Z20" i="16" s="1"/>
  <c r="Q20" i="16"/>
  <c r="AF19" i="16"/>
  <c r="AG19" i="16" s="1"/>
  <c r="AE19" i="16"/>
  <c r="AD19" i="16"/>
  <c r="Y19" i="16"/>
  <c r="Z19" i="16" s="1"/>
  <c r="AF18" i="16"/>
  <c r="AE18" i="16"/>
  <c r="AG18" i="16" s="1"/>
  <c r="AC18" i="16"/>
  <c r="AD18" i="16" s="1"/>
  <c r="Q18" i="16"/>
  <c r="Y18" i="16" s="1"/>
  <c r="Z18" i="16" s="1"/>
  <c r="AF17" i="16"/>
  <c r="AE17" i="16"/>
  <c r="AG17" i="16" s="1"/>
  <c r="AD17" i="16"/>
  <c r="AC17" i="16"/>
  <c r="Q17" i="16"/>
  <c r="P17" i="16"/>
  <c r="Y17" i="16" s="1"/>
  <c r="Z17" i="16" s="1"/>
  <c r="AF16" i="16"/>
  <c r="AE16" i="16"/>
  <c r="AG16" i="16" s="1"/>
  <c r="AC16" i="16"/>
  <c r="AD16" i="16" s="1"/>
  <c r="Y16" i="16"/>
  <c r="Z16" i="16" s="1"/>
  <c r="P16" i="16"/>
  <c r="AF15" i="16"/>
  <c r="AE15" i="16"/>
  <c r="AG15" i="16" s="1"/>
  <c r="AD15" i="16"/>
  <c r="AC15" i="16"/>
  <c r="Y15" i="16"/>
  <c r="Z15" i="16" s="1"/>
  <c r="P15" i="16"/>
  <c r="AG14" i="16"/>
  <c r="AF14" i="16"/>
  <c r="AE14" i="16"/>
  <c r="AC14" i="16"/>
  <c r="AD14" i="16" s="1"/>
  <c r="P14" i="16"/>
  <c r="Y14" i="16" s="1"/>
  <c r="Z14" i="16" s="1"/>
  <c r="AF13" i="16"/>
  <c r="AE13" i="16"/>
  <c r="AG13" i="16" s="1"/>
  <c r="AC13" i="16"/>
  <c r="AD13" i="16" s="1"/>
  <c r="Y13" i="16"/>
  <c r="Z13" i="16" s="1"/>
  <c r="Q13" i="16"/>
  <c r="AF12" i="16"/>
  <c r="AE12" i="16"/>
  <c r="AG12" i="16" s="1"/>
  <c r="AD12" i="16"/>
  <c r="AC12" i="16"/>
  <c r="Y12" i="16"/>
  <c r="Z12" i="16" s="1"/>
  <c r="Q12" i="16"/>
  <c r="AG11" i="16"/>
  <c r="AF11" i="16"/>
  <c r="AE11" i="16"/>
  <c r="AC11" i="16"/>
  <c r="AD11" i="16" s="1"/>
  <c r="Q11" i="16"/>
  <c r="Y11" i="16" s="1"/>
  <c r="Z11" i="16" s="1"/>
  <c r="P11" i="16"/>
  <c r="AE10" i="16"/>
  <c r="AG10" i="16" s="1"/>
  <c r="AC10" i="16"/>
  <c r="AD10" i="16" s="1"/>
  <c r="Y10" i="16"/>
  <c r="Z10" i="16" s="1"/>
  <c r="Q10" i="16"/>
  <c r="AF9" i="16"/>
  <c r="AE9" i="16"/>
  <c r="AG9" i="16" s="1"/>
  <c r="AD9" i="16"/>
  <c r="AC9" i="16"/>
  <c r="Q9" i="16"/>
  <c r="P9" i="16"/>
  <c r="Y9" i="16" s="1"/>
  <c r="Z9" i="16" s="1"/>
  <c r="AF8" i="16"/>
  <c r="AE8" i="16"/>
  <c r="AG8" i="16" s="1"/>
  <c r="AD8" i="16"/>
  <c r="AC8" i="16"/>
  <c r="Y8" i="16"/>
  <c r="Z8" i="16" s="1"/>
  <c r="Q8" i="16"/>
  <c r="J22" i="5"/>
  <c r="AG11" i="5" l="1"/>
  <c r="AG9" i="5"/>
  <c r="AG19" i="5"/>
  <c r="Y11" i="5"/>
  <c r="Z11" i="5" s="1"/>
  <c r="AG14" i="5"/>
  <c r="AG20" i="5"/>
</calcChain>
</file>

<file path=xl/sharedStrings.xml><?xml version="1.0" encoding="utf-8"?>
<sst xmlns="http://schemas.openxmlformats.org/spreadsheetml/2006/main" count="335" uniqueCount="118">
  <si>
    <t>Tip bun (mobil/ imobil)</t>
  </si>
  <si>
    <t>8.04.01</t>
  </si>
  <si>
    <t>TOTAL</t>
  </si>
  <si>
    <t>Situaţia  juridică</t>
  </si>
  <si>
    <t>în administrare</t>
  </si>
  <si>
    <t>Anul dobândirii / dării în folosinţă</t>
  </si>
  <si>
    <t>MF va atribui un număr nou</t>
  </si>
  <si>
    <t>Cod clasificație</t>
  </si>
  <si>
    <t>Nr. crt.</t>
  </si>
  <si>
    <t>Adresa</t>
  </si>
  <si>
    <t xml:space="preserve">Titularul dreptului de administrare şi ordonatorul principal de credite </t>
  </si>
  <si>
    <t>Administrare/ concesiune/ folosinţă gratuită/ închiriere</t>
  </si>
  <si>
    <t>PĂDURE</t>
  </si>
  <si>
    <t xml:space="preserve">Anexa </t>
  </si>
  <si>
    <t>Datele de identificare</t>
  </si>
  <si>
    <t xml:space="preserve">ale bunurilor imobile care se înscriu în inventarul centralizat al bunurilor din domeniul public al statului şi se dau în administrarea Ministerului Mediului, Apelor şi Pădurilor prin Regia Naţională a Pădurilor - Romsilva 															</t>
  </si>
  <si>
    <t>Nr. MF.</t>
  </si>
  <si>
    <t xml:space="preserve">Denumirea </t>
  </si>
  <si>
    <t>Elementele - cadru de descriere tehnică</t>
  </si>
  <si>
    <r>
      <t xml:space="preserve">Vecinătăţi
</t>
    </r>
    <r>
      <rPr>
        <b/>
        <i/>
        <sz val="8"/>
        <rFont val="Times New Roman"/>
        <family val="1"/>
      </rPr>
      <t>(N, S, V, E)</t>
    </r>
  </si>
  <si>
    <t>Valoare de inventar</t>
  </si>
  <si>
    <t xml:space="preserve">Data la care bunul este înregistrat cu valoarea de inventar din coloana 9 în evidenţa financiar - contabilă </t>
  </si>
  <si>
    <t xml:space="preserve">Baza legală </t>
  </si>
  <si>
    <t>imobil</t>
  </si>
  <si>
    <t>Suprafața 10,0000 ha; CF 60158 Vultureni, NR. CAD 60158;</t>
  </si>
  <si>
    <t>Țara: România, Județ: Bacău, Localitatea: Vultureni</t>
  </si>
  <si>
    <t xml:space="preserve"> Legea nr. 331/2024; Ordonanţa de urgenţă Guvernului nr. 57/2019; Contract de vânzare-cumpărare nr. 682/03.07.2024</t>
  </si>
  <si>
    <t>Suprafața 1,5134 ha; CF 62095 Slănic-Moldova, NR. CAD 62095;</t>
  </si>
  <si>
    <t>Țara: România, Județ: Bacău, Localitatea: Slănic Moldova</t>
  </si>
  <si>
    <r>
      <rPr>
        <b/>
        <sz val="8"/>
        <rFont val="Times New Roman"/>
        <family val="1"/>
      </rPr>
      <t xml:space="preserve">N: </t>
    </r>
    <r>
      <rPr>
        <sz val="8"/>
        <rFont val="Times New Roman"/>
        <family val="1"/>
      </rPr>
      <t>Rezerva, Localitatea: Vultureni;</t>
    </r>
    <r>
      <rPr>
        <b/>
        <sz val="8"/>
        <rFont val="Times New Roman"/>
        <family val="1"/>
      </rPr>
      <t xml:space="preserve"> S:</t>
    </r>
    <r>
      <rPr>
        <sz val="8"/>
        <rFont val="Times New Roman"/>
        <family val="1"/>
      </rPr>
      <t xml:space="preserve"> Proprietatea publică a statului, RNP ROMSILVA, Localitatea: Vultureni; </t>
    </r>
    <r>
      <rPr>
        <b/>
        <sz val="8"/>
        <rFont val="Times New Roman"/>
        <family val="1"/>
      </rPr>
      <t>V:</t>
    </r>
    <r>
      <rPr>
        <sz val="8"/>
        <rFont val="Times New Roman"/>
        <family val="1"/>
      </rPr>
      <t xml:space="preserve">  DE Stănișești; </t>
    </r>
    <r>
      <rPr>
        <b/>
        <sz val="8"/>
        <rFont val="Times New Roman"/>
        <family val="1"/>
      </rPr>
      <t xml:space="preserve">E: </t>
    </r>
    <r>
      <rPr>
        <sz val="8"/>
        <rFont val="Times New Roman"/>
        <family val="1"/>
      </rPr>
      <t xml:space="preserve"> DE Vultureni;</t>
    </r>
  </si>
  <si>
    <t>N - E :  Proprietate privată PF, Localitatea: Slănic Moldova; S - V : Proprietatea publică a statului, RNP ROMSILVA, Localitatea: Slănic Moldova;</t>
  </si>
  <si>
    <t xml:space="preserve"> Legea nr. 331/2024; Ordonanţa de urgenţă Guvernului nr. 57/2019; Contract de vânzare-cumpărare nr. 272/26.04.2024</t>
  </si>
  <si>
    <t>Pădure</t>
  </si>
  <si>
    <t>Suprafața 4,0000 ha; CF 30918 Vernești, NR. CAD 30918;</t>
  </si>
  <si>
    <t>Țara: România, Județ: Buzău, Localitatea: Vernești</t>
  </si>
  <si>
    <t xml:space="preserve"> Legea nr. 331/2024; Ordonanţa de urgenţă Guvernului nr. 57/2019; Contract de vânzare-cumpărare nr. 2200/05.09.2024</t>
  </si>
  <si>
    <t>Val ctr</t>
  </si>
  <si>
    <t>Dif curs valutar</t>
  </si>
  <si>
    <t>Total bun</t>
  </si>
  <si>
    <t>Dif</t>
  </si>
  <si>
    <t>dif reeval 2012</t>
  </si>
  <si>
    <t>dif reeval 2015</t>
  </si>
  <si>
    <t>dif reeval 2018</t>
  </si>
  <si>
    <t>dif reeval 2021</t>
  </si>
  <si>
    <t>dif reeval 2024</t>
  </si>
  <si>
    <t>dif reeval 2009</t>
  </si>
  <si>
    <t>Suprafața 5,0000 ha; CF 70513 Cândești, NR. CAD 568;</t>
  </si>
  <si>
    <t>Țara: România, Județ: Dâmbovița, Localitatea: Cândești</t>
  </si>
  <si>
    <t>Țara: România, Județ: Mehedinți, Localitățile: Sisești și Ilovat</t>
  </si>
  <si>
    <t xml:space="preserve"> Legea nr. 331/2024; Ordonanţa de urgenţă Guvernului nr. 57/2019; Contract de vânzare-cumpărare nr. 327/15.02.2024</t>
  </si>
  <si>
    <r>
      <rPr>
        <b/>
        <sz val="8"/>
        <rFont val="Times New Roman"/>
        <family val="1"/>
      </rPr>
      <t>N - E : P</t>
    </r>
    <r>
      <rPr>
        <sz val="8"/>
        <rFont val="Times New Roman"/>
        <family val="1"/>
      </rPr>
      <t xml:space="preserve">roprietatea publică a statului, RNP ROMSILVA, Localitatea: Sisești; </t>
    </r>
    <r>
      <rPr>
        <b/>
        <sz val="8"/>
        <rFont val="Times New Roman"/>
        <family val="1"/>
      </rPr>
      <t>S :</t>
    </r>
    <r>
      <rPr>
        <sz val="8"/>
        <rFont val="Times New Roman"/>
        <family val="1"/>
      </rPr>
      <t xml:space="preserve"> UAT Sisești;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% UAT Sisești, %UAT Ilovat, % Proprietate privată PF, Localitatea: Sisești;</t>
    </r>
  </si>
  <si>
    <r>
      <rPr>
        <b/>
        <sz val="8"/>
        <rFont val="Times New Roman"/>
        <family val="1"/>
      </rPr>
      <t>Suprafața totală: 215,0858 ha, din care:</t>
    </r>
    <r>
      <rPr>
        <sz val="8"/>
        <rFont val="Times New Roman"/>
        <family val="1"/>
      </rPr>
      <t xml:space="preserve"> CF 51039 Sisești, Nr. Cad. 51039; (Suprafața: 81,5000 ha;); CF 51040 Sisești, Nr. Cad. 51040; (Suprafața: 19,3500 ha;); CF 51041 Sisești, Nr. Cad. 51041; (Suprafața: 8,1200 ha;); CF 51042 Sisești, Nr. Cad. 51042; (Suprafața: 56,3291 ha;); CF 51046 Sisești, Nr. Cad. 51046; (Suprafața: 47,0500 ha;); CF 50655 Ilovat, Nr. Cad. 50655; (Suprafața: 2,7367 ha;); </t>
    </r>
  </si>
  <si>
    <t>Țara: România, Județ: Sălaj, Localitățile: Halmășd și Nușfalău</t>
  </si>
  <si>
    <t xml:space="preserve"> Legea nr. 331/2024; Ordonanţa de urgenţă Guvernului nr. 57/2019; Contract de vânzare-cumpărare nr. 836/12.06.2024</t>
  </si>
  <si>
    <r>
      <rPr>
        <b/>
        <sz val="8"/>
        <rFont val="Times New Roman"/>
        <family val="1"/>
      </rPr>
      <t xml:space="preserve">Suprafața totală: 40,7852 ha, din care: </t>
    </r>
    <r>
      <rPr>
        <sz val="8"/>
        <rFont val="Times New Roman"/>
        <family val="1"/>
      </rPr>
      <t>CF 51126 Halmășd, Nr. Cad. 51126; (Suprafața: 5,7248 ha); CF 51127 Halmășd, Nr. Cad. 51127; (Suprafața: 6,0000 ha); CF 52012 Nușfalău, Nr. Cad. 52012; (Suprafața: 4,0000 ha); CF 52013 Nușfalău, Nr. Cad. 52013; (Suprafața: 6,7000 ha); CF 52014 Nușfalău, Nr. Cad. 52014; (Suprafața: 4,200 ha); CF 52016 Nușfalău, Nr. Cad. 52016; (Suprafața: 1,9000 ha); CF 52017 Nușfalău, Nr. Cad. 52017; (Suprafața: 4,0000 ha); CF 52073 Nușfalău, Nr. Cad. 52073; (Suprafața: 8,2604 ha);</t>
    </r>
  </si>
  <si>
    <t>Țara: România, Județ: Vaslui, Localitatea: Drăgușeni</t>
  </si>
  <si>
    <t xml:space="preserve"> Legea nr. 331/2024; Ordonanţa de urgenţă Guvernului nr. 57/2019; Contract de vânzare-cumpărare nr. 1964/11.30.2024</t>
  </si>
  <si>
    <t>Țara: România, Județ: Vaslui, Localitatea: Negrești</t>
  </si>
  <si>
    <t xml:space="preserve"> Legea nr. 331/2024; Ordonanţa de urgenţă Guvernului nr. 57/2019; Contract de vânzare-cumpărare nr. 1272/18.07.2024</t>
  </si>
  <si>
    <t>Suprafața 10,5223 ha; CF 72632 Negrești, Nr. Cad. 72632;</t>
  </si>
  <si>
    <t>Suprafața 29,5500 ha; CF 60431 Drăgușeni, Nr. Cad. 60431;</t>
  </si>
  <si>
    <t>Ţara:România; Jud.Vaslui, Localitatea: Alexandru Vlahuță</t>
  </si>
  <si>
    <r>
      <rPr>
        <b/>
        <sz val="8"/>
        <rFont val="Times New Roman"/>
        <family val="1"/>
      </rPr>
      <t>N :</t>
    </r>
    <r>
      <rPr>
        <sz val="8"/>
        <rFont val="Times New Roman"/>
        <family val="1"/>
      </rPr>
      <t xml:space="preserve"> Proprietatea publică a statului, RNP ROMSILVA, Localitatea: Drăgușeni; </t>
    </r>
    <r>
      <rPr>
        <b/>
        <sz val="8"/>
        <rFont val="Times New Roman"/>
        <family val="1"/>
      </rPr>
      <t xml:space="preserve">S : </t>
    </r>
    <r>
      <rPr>
        <sz val="8"/>
        <rFont val="Times New Roman"/>
        <family val="1"/>
      </rPr>
      <t xml:space="preserve">Proprietate privată PF, Localitatea: Negrești;  </t>
    </r>
    <r>
      <rPr>
        <b/>
        <sz val="8"/>
        <rFont val="Times New Roman"/>
        <family val="1"/>
      </rPr>
      <t>E :</t>
    </r>
    <r>
      <rPr>
        <sz val="8"/>
        <rFont val="Times New Roman"/>
        <family val="1"/>
      </rPr>
      <t xml:space="preserve"> % Proprietate privată PF, Localitatea: Drăgușeni, % Proprietate privată PF, Localitatea: Negrești;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% Proprietate privată PF, Localitatea: Negrești, %Proprietatea publică a statului, RNP ROMSILVA, Localitatea: Drăgușeni;</t>
    </r>
  </si>
  <si>
    <t xml:space="preserve"> Legea nr. 331/2024; Ordonanţa de urgenţă Guvernului nr. 57/2019; Contract de vânzare-cumpărare nr. 1302/19.12.2023</t>
  </si>
  <si>
    <r>
      <rPr>
        <b/>
        <sz val="8"/>
        <rFont val="Times New Roman"/>
        <family val="1"/>
      </rPr>
      <t>N :</t>
    </r>
    <r>
      <rPr>
        <sz val="8"/>
        <rFont val="Times New Roman"/>
        <family val="1"/>
      </rPr>
      <t xml:space="preserve"> %Proprietate privată PF, Localitatea: Cândești,% Proprietatea publică a statului, RNP ROMSILVA, Localitatea: Cândești; </t>
    </r>
    <r>
      <rPr>
        <b/>
        <sz val="8"/>
        <rFont val="Times New Roman"/>
        <family val="1"/>
      </rPr>
      <t>S - V :</t>
    </r>
    <r>
      <rPr>
        <sz val="8"/>
        <rFont val="Times New Roman"/>
        <family val="1"/>
      </rPr>
      <t xml:space="preserve"> Proprietate privată PF, Localitatea: Cândești; </t>
    </r>
    <r>
      <rPr>
        <b/>
        <sz val="8"/>
        <rFont val="Times New Roman"/>
        <family val="1"/>
      </rPr>
      <t>E :</t>
    </r>
    <r>
      <rPr>
        <sz val="8"/>
        <rFont val="Times New Roman"/>
        <family val="1"/>
      </rPr>
      <t xml:space="preserve"> Proprietatea publică a statului, RNP ROMSILVA, Localitatea: Cândești;</t>
    </r>
  </si>
  <si>
    <r>
      <rPr>
        <b/>
        <sz val="8"/>
        <rFont val="Times New Roman"/>
        <family val="1"/>
      </rPr>
      <t>N :</t>
    </r>
    <r>
      <rPr>
        <sz val="8"/>
        <rFont val="Times New Roman"/>
        <family val="1"/>
      </rPr>
      <t xml:space="preserve"> Proprietatea publică a statului, RNP ROMSILVA, Localitatea: Cosniciu de Jos; </t>
    </r>
    <r>
      <rPr>
        <b/>
        <sz val="8"/>
        <rFont val="Times New Roman"/>
        <family val="1"/>
      </rPr>
      <t>E :</t>
    </r>
    <r>
      <rPr>
        <sz val="8"/>
        <rFont val="Times New Roman"/>
        <family val="1"/>
      </rPr>
      <t xml:space="preserve"> Proprietatea publică a statului, RNP ROMSILVA, Localitatea: Nușfalău; </t>
    </r>
    <r>
      <rPr>
        <b/>
        <sz val="8"/>
        <rFont val="Times New Roman"/>
        <family val="1"/>
      </rPr>
      <t xml:space="preserve">S : </t>
    </r>
    <r>
      <rPr>
        <sz val="8"/>
        <rFont val="Times New Roman"/>
        <family val="1"/>
      </rPr>
      <t xml:space="preserve">Proprietate privată PF, Localitatea:Drighiu;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Proprietate privată PF, Localitatea: Halmășd;</t>
    </r>
  </si>
  <si>
    <t>Suprafața 6,0625 ha; CF 20149 Albești, NR. CAD 20149;</t>
  </si>
  <si>
    <r>
      <rPr>
        <b/>
        <sz val="8"/>
        <rFont val="Times New Roman"/>
        <family val="1"/>
      </rPr>
      <t>Suprafața totală:</t>
    </r>
    <r>
      <rPr>
        <sz val="8"/>
        <rFont val="Times New Roman"/>
        <family val="1"/>
      </rPr>
      <t xml:space="preserve"> 5,8367 ha, din care: CF 25103 Alexeni, Nr. Cad. 25103; (Suprafața: 1,7177 ha); CF 25098 Alexeni, Nr. Cad. 25098; (Suprafața: 2,7061 ha); CF 25092 Alexeni, Nr. Cad. 25092; (Suprafața: 1,4129 ha); </t>
    </r>
  </si>
  <si>
    <r>
      <rPr>
        <b/>
        <sz val="8"/>
        <rFont val="Times New Roman"/>
        <family val="1"/>
      </rPr>
      <t xml:space="preserve">Suprafața totală: </t>
    </r>
    <r>
      <rPr>
        <sz val="8"/>
        <rFont val="Times New Roman"/>
        <family val="1"/>
      </rPr>
      <t>10,0000 ha, din care: CF 25584 Coșereni, Nr. Cad. 25584; (Suprafața: 6,3490 ha); CF 25646 Coșereni, Nr. Cad. 25646; (Suprafața: 3,6510 ha)</t>
    </r>
  </si>
  <si>
    <t>Țara: România, Județ: Ialomița, Localitatea: Alexeni</t>
  </si>
  <si>
    <t>Țara: România, Județ: Ialomița, Localitatea: Albesti</t>
  </si>
  <si>
    <t>Țara: România, Județ: Ialomița, Localitatea: Coșereni</t>
  </si>
  <si>
    <t xml:space="preserve"> Legea nr. 331/2024; Ordonanţa de urgenţă Guvernului nr. 57/2019; Contract de vânzare-cumpărare nr. 2837/28.10.2003</t>
  </si>
  <si>
    <t xml:space="preserve"> Legea nr. 331/2024; Ordonanţa de urgenţă Guvernului nr. 57/2019; Contract de vânzare-cumpărare nr. 2765/21.10.2003</t>
  </si>
  <si>
    <t>TEREN PĂDURE</t>
  </si>
  <si>
    <t>Suprafețe=0,4296 ha; CF= 50934 Ghindăoani, Nr.Cad. 50934</t>
  </si>
  <si>
    <t>Țara: România, Județ: Neamț, Localitatea: Ghindăoani</t>
  </si>
  <si>
    <t xml:space="preserve"> Legea nr. 331/2024; Ordonanţa de urgenţă Guvernului nr. 57/2019; Contract de vânzare-cumparare nr. 1272/17.12.2025; </t>
  </si>
  <si>
    <t xml:space="preserve"> Legea nr. 331/2024; Ordonanţa de urgenţă Guvernului nr. 57/2019; Contract de vânzare-cumpărare nr. 263/30.01.2008; Act adițional nr. 1241/11.05.2015</t>
  </si>
  <si>
    <r>
      <rPr>
        <b/>
        <sz val="8"/>
        <rFont val="Times New Roman"/>
        <family val="1"/>
      </rPr>
      <t>N : %</t>
    </r>
    <r>
      <rPr>
        <sz val="8"/>
        <rFont val="Times New Roman"/>
        <family val="1"/>
      </rPr>
      <t>DE477; %Proprietatea publică a statului, ANAR, Localitatea: Coșereni;</t>
    </r>
    <r>
      <rPr>
        <b/>
        <sz val="8"/>
        <rFont val="Times New Roman"/>
        <family val="1"/>
      </rPr>
      <t xml:space="preserve"> S :</t>
    </r>
    <r>
      <rPr>
        <sz val="8"/>
        <rFont val="Times New Roman"/>
        <family val="1"/>
      </rPr>
      <t xml:space="preserve"> %DE474; %DE483/1;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%DE477; %Proprietatea publică a statului, ANAR, Localitatea: Coșeren;</t>
    </r>
    <r>
      <rPr>
        <b/>
        <sz val="8"/>
        <rFont val="Times New Roman"/>
        <family val="1"/>
      </rPr>
      <t xml:space="preserve"> E :</t>
    </r>
    <r>
      <rPr>
        <sz val="8"/>
        <rFont val="Times New Roman"/>
        <family val="1"/>
      </rPr>
      <t xml:space="preserve"> %Proprietate privată PF, Localitatea: Coșereni; %Proprietatea publică a statului, RNP ROMSILVA, Localitatea: Coșereni; </t>
    </r>
  </si>
  <si>
    <r>
      <rPr>
        <b/>
        <sz val="8"/>
        <rFont val="Times New Roman"/>
        <family val="1"/>
      </rPr>
      <t xml:space="preserve">N - V : </t>
    </r>
    <r>
      <rPr>
        <sz val="8"/>
        <rFont val="Times New Roman"/>
        <family val="1"/>
      </rPr>
      <t xml:space="preserve">DE200; Proprietate privată PF, Localitatea: Alexeni; </t>
    </r>
    <r>
      <rPr>
        <b/>
        <sz val="8"/>
        <rFont val="Times New Roman"/>
        <family val="1"/>
      </rPr>
      <t>S :</t>
    </r>
    <r>
      <rPr>
        <sz val="8"/>
        <rFont val="Times New Roman"/>
        <family val="1"/>
      </rPr>
      <t xml:space="preserve"> %Proprietate privată PF, Localitatea:Alexeni; %Proprietatea publică a statului, RNP ROMSILVA, Localitatea: Alexeni; </t>
    </r>
    <r>
      <rPr>
        <b/>
        <sz val="8"/>
        <rFont val="Times New Roman"/>
        <family val="1"/>
      </rPr>
      <t xml:space="preserve"> E :</t>
    </r>
    <r>
      <rPr>
        <sz val="8"/>
        <rFont val="Times New Roman"/>
        <family val="1"/>
      </rPr>
      <t xml:space="preserve"> Proprietate privată PF, Localitatea: Alexeni;</t>
    </r>
  </si>
  <si>
    <r>
      <rPr>
        <b/>
        <sz val="8"/>
        <rFont val="Times New Roman"/>
        <family val="1"/>
      </rPr>
      <t xml:space="preserve">N : </t>
    </r>
    <r>
      <rPr>
        <sz val="8"/>
        <rFont val="Times New Roman"/>
        <family val="1"/>
      </rPr>
      <t>Proprietate privată PF, Localitatea: Albesti;</t>
    </r>
    <r>
      <rPr>
        <b/>
        <sz val="8"/>
        <rFont val="Times New Roman"/>
        <family val="1"/>
      </rPr>
      <t xml:space="preserve">  S : %</t>
    </r>
    <r>
      <rPr>
        <sz val="8"/>
        <rFont val="Times New Roman"/>
        <family val="1"/>
      </rPr>
      <t xml:space="preserve">Proprietate privată PF, Localitatea:Albesti; %Proprietatea publică a statului, RNP ROMSILVA, Localitatea: Albesti; 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DE235;  </t>
    </r>
    <r>
      <rPr>
        <b/>
        <sz val="8"/>
        <rFont val="Times New Roman"/>
        <family val="1"/>
      </rPr>
      <t xml:space="preserve">E : </t>
    </r>
    <r>
      <rPr>
        <sz val="8"/>
        <rFont val="Times New Roman"/>
        <family val="1"/>
      </rPr>
      <t>DE238/1;</t>
    </r>
  </si>
  <si>
    <r>
      <rPr>
        <b/>
        <sz val="8"/>
        <rFont val="Times New Roman"/>
        <family val="1"/>
      </rPr>
      <t>N - E - V :</t>
    </r>
    <r>
      <rPr>
        <sz val="8"/>
        <rFont val="Times New Roman"/>
        <family val="1"/>
      </rPr>
      <t xml:space="preserve"> Proprietatea publică a statului, RNP ROMSILVA, Localitatea: Ghindăoani;</t>
    </r>
    <r>
      <rPr>
        <b/>
        <sz val="8"/>
        <rFont val="Times New Roman"/>
        <family val="1"/>
      </rPr>
      <t xml:space="preserve"> S :</t>
    </r>
    <r>
      <rPr>
        <sz val="8"/>
        <rFont val="Times New Roman"/>
        <family val="1"/>
      </rPr>
      <t xml:space="preserve"> DE;</t>
    </r>
  </si>
  <si>
    <r>
      <rPr>
        <b/>
        <sz val="8"/>
        <rFont val="Times New Roman"/>
        <family val="1"/>
      </rPr>
      <t>N :</t>
    </r>
    <r>
      <rPr>
        <sz val="8"/>
        <rFont val="Times New Roman"/>
        <family val="1"/>
      </rPr>
      <t xml:space="preserve"> %NC 72630, %NC 70074, %NC 70029;</t>
    </r>
    <r>
      <rPr>
        <b/>
        <sz val="8"/>
        <rFont val="Times New Roman"/>
        <family val="1"/>
      </rPr>
      <t xml:space="preserve"> S - E - V : </t>
    </r>
    <r>
      <rPr>
        <sz val="8"/>
        <rFont val="Times New Roman"/>
        <family val="1"/>
      </rPr>
      <t xml:space="preserve">Proprietatea publică a statului, RNP ROMSILVA, Localitatea: Negrești; </t>
    </r>
  </si>
  <si>
    <r>
      <rPr>
        <b/>
        <sz val="8"/>
        <rFont val="Times New Roman"/>
        <family val="1"/>
      </rPr>
      <t xml:space="preserve">N : </t>
    </r>
    <r>
      <rPr>
        <sz val="8"/>
        <rFont val="Times New Roman"/>
        <family val="1"/>
      </rPr>
      <t xml:space="preserve">DE Alexandru Vlahuță;  </t>
    </r>
    <r>
      <rPr>
        <b/>
        <sz val="8"/>
        <rFont val="Times New Roman"/>
        <family val="1"/>
      </rPr>
      <t>S :</t>
    </r>
    <r>
      <rPr>
        <sz val="8"/>
        <rFont val="Times New Roman"/>
        <family val="1"/>
      </rPr>
      <t xml:space="preserve"> Proprietate privată PF, Localitatea: Alexandru Vlahuță;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% Proprietate privată PF, Localitatea: Alexandru Vlahuță, % NC70121, Localitatea: Alexandru Vlahuță; </t>
    </r>
    <r>
      <rPr>
        <b/>
        <sz val="8"/>
        <rFont val="Times New Roman"/>
        <family val="1"/>
      </rPr>
      <t>E :</t>
    </r>
    <r>
      <rPr>
        <sz val="8"/>
        <rFont val="Times New Roman"/>
        <family val="1"/>
      </rPr>
      <t xml:space="preserve"> % DE Alexandru Vlahuță; % UAT Alexandru Vlahuță;</t>
    </r>
  </si>
  <si>
    <t xml:space="preserve"> Legea nr. 331/2024; Ordonanţa de urgenţă Guvernului nr. 57/2019; Contract de vânzare-cumpărare nr. 2860/29.10.2003</t>
  </si>
  <si>
    <t xml:space="preserve">Teren forestier </t>
  </si>
  <si>
    <t>Ministerul Mediului,  Apelor şi Pădurilor / C.U.I. 16335444 / Regia Naţională a Pădurilor - Romsilva/ C.U.I. 1590120</t>
  </si>
  <si>
    <t xml:space="preserve"> Legea nr. 331/2024; Ordonanţa de urgenţă Guvernului nr. 57/2019; Contract de vânzare-cumpărare nr. 1483/30.04.2014;</t>
  </si>
  <si>
    <t xml:space="preserve"> Legea nr. 331/2024; Ordonanţa de urgenţă Guvernului nr. 57/2019; Contract de vânzare-cumpărare nr. 792/07.03.2014; Contract de vânzare-cumpărare nr. 793/07.03.2014; Contract de vânzare-cumpărare nr. 817/11.03.2014;</t>
  </si>
  <si>
    <r>
      <t>Suprafața 4,5000 ha;</t>
    </r>
    <r>
      <rPr>
        <sz val="8"/>
        <rFont val="Times New Roman"/>
        <family val="1"/>
      </rPr>
      <t xml:space="preserve"> %CF 27485 Dumitrița, %NR. CAD 27485;</t>
    </r>
  </si>
  <si>
    <r>
      <rPr>
        <b/>
        <sz val="8"/>
        <rFont val="Times New Roman"/>
        <family val="1"/>
      </rPr>
      <t xml:space="preserve">Suprafața totală: </t>
    </r>
    <r>
      <rPr>
        <sz val="8"/>
        <rFont val="Times New Roman"/>
        <family val="1"/>
      </rPr>
      <t>7,6000 ha, din care: CF 27555 Dumitrița, Nr. Cad. 27555; (Suprafața: 0,2850 ha); CF 27568 Dumitrița, Nr. Cad. 27568; (Suprafața: 7,3150 ha)</t>
    </r>
  </si>
  <si>
    <t>Țara: România, Județ: Bistrița Năsăud, Localitatea: Dumitrița</t>
  </si>
  <si>
    <r>
      <rPr>
        <b/>
        <sz val="8"/>
        <rFont val="Times New Roman"/>
        <family val="1"/>
      </rPr>
      <t>N - E :</t>
    </r>
    <r>
      <rPr>
        <sz val="8"/>
        <rFont val="Times New Roman"/>
        <family val="1"/>
      </rPr>
      <t xml:space="preserve"> Proprietatea publică a statului, RNP ROMSILVA, Localitatea: Dumitrița;</t>
    </r>
    <r>
      <rPr>
        <b/>
        <sz val="8"/>
        <rFont val="Times New Roman"/>
        <family val="1"/>
      </rPr>
      <t xml:space="preserve"> S - V :</t>
    </r>
    <r>
      <rPr>
        <sz val="8"/>
        <rFont val="Times New Roman"/>
        <family val="1"/>
      </rPr>
      <t xml:space="preserve"> Proprietate privată PF, Localitatea: Dumitrița;</t>
    </r>
  </si>
  <si>
    <r>
      <rPr>
        <b/>
        <sz val="8"/>
        <rFont val="Times New Roman"/>
        <family val="1"/>
      </rPr>
      <t>N - E :</t>
    </r>
    <r>
      <rPr>
        <sz val="8"/>
        <rFont val="Times New Roman"/>
        <family val="1"/>
      </rPr>
      <t xml:space="preserve"> Proprietate privată PF, Localitatea: Dumitrița; </t>
    </r>
    <r>
      <rPr>
        <b/>
        <sz val="8"/>
        <rFont val="Times New Roman"/>
        <family val="1"/>
      </rPr>
      <t>S - V :</t>
    </r>
    <r>
      <rPr>
        <sz val="8"/>
        <rFont val="Times New Roman"/>
        <family val="1"/>
      </rPr>
      <t xml:space="preserve"> Proprietatea publică a statului, RNP ROMSILVA, Localitatea: Dumitrița;</t>
    </r>
  </si>
  <si>
    <r>
      <rPr>
        <b/>
        <sz val="8"/>
        <rFont val="Times New Roman"/>
        <family val="1"/>
      </rPr>
      <t>N - S - E - V -</t>
    </r>
    <r>
      <rPr>
        <sz val="8"/>
        <rFont val="Times New Roman"/>
        <family val="1"/>
      </rPr>
      <t xml:space="preserve"> proprietatea publică a statului, Localitatea: Vernești;</t>
    </r>
  </si>
  <si>
    <t xml:space="preserve"> Suprafața totală 9,7036 ha; CF 70122 Alexandru Vlahuță, Nr. Cad. 70122;</t>
  </si>
  <si>
    <t>onorariu + taxe</t>
  </si>
  <si>
    <t>Suprafata FMF</t>
  </si>
  <si>
    <t>Suprafata ctr</t>
  </si>
  <si>
    <t>Suprafata CF</t>
  </si>
  <si>
    <t xml:space="preserve">ale bunurilor imobile care se înscriu în inventarul centralizat al bunurilor din domeniul public al statului şi se dau în administrarea Ministerului Mediului, Apelor şi Pădurilor prin Regia Naţională a Pădurilor - Romsilva, ca urmare a împăduririi														</t>
  </si>
  <si>
    <r>
      <rPr>
        <b/>
        <sz val="8"/>
        <rFont val="Times New Roman"/>
        <family val="1"/>
      </rPr>
      <t xml:space="preserve">N - S - E : </t>
    </r>
    <r>
      <rPr>
        <sz val="8"/>
        <rFont val="Times New Roman"/>
        <family val="1"/>
      </rPr>
      <t xml:space="preserve">Proprietate privată PF, Localitatea: Vernești; </t>
    </r>
    <r>
      <rPr>
        <b/>
        <sz val="8"/>
        <rFont val="Times New Roman"/>
        <family val="1"/>
      </rPr>
      <t>V :</t>
    </r>
    <r>
      <rPr>
        <sz val="8"/>
        <rFont val="Times New Roman"/>
        <family val="1"/>
      </rPr>
      <t xml:space="preserve"> Proprietatea publică a statului, RNP ROMSILVA, Localitatea: Vernești;</t>
    </r>
  </si>
  <si>
    <r>
      <rPr>
        <b/>
        <sz val="8"/>
        <rFont val="Times New Roman"/>
        <family val="1"/>
      </rPr>
      <t>Suprafața totală: 215,0858 ha, din care:</t>
    </r>
    <r>
      <rPr>
        <sz val="8"/>
        <rFont val="Times New Roman"/>
        <family val="1"/>
      </rPr>
      <t xml:space="preserve"> 
Carte Funciară  nr.51039 Sisești, Nr. Cad. 51039; (Suprafața: 81,5000 ha;); 
Carte Funciară  nr. 51040 Sisești, Nr. Cad. 51040; (Suprafața: 19,3500 ha;); 
Carte Funciară  nr.51041 Sisești, Nr. Cad. 51041; (Suprafața: 8,1200 ha;); 
Carte Funciară  nr. 51042 Sisești, Nr. Cad. 51042; (Suprafața: 56,3291 ha;); 
Carte Funciară  nr. 51046 Sisești, Nr. Cad. 51046; (Suprafața: 47,0500 ha;); 
Carte Funciară  nr. 50655 Ilovat, Nr. Cad. 50655; (Suprafața: 2,7367 ha;); </t>
    </r>
  </si>
  <si>
    <t>Suprafața 4,0000 ha; Carte Funciară nr. 30918 Vernești, NR. CAD 30918;</t>
  </si>
  <si>
    <r>
      <rPr>
        <b/>
        <sz val="8"/>
        <rFont val="Times New Roman"/>
        <family val="1"/>
      </rPr>
      <t xml:space="preserve">Suprafața totală: </t>
    </r>
    <r>
      <rPr>
        <sz val="8"/>
        <rFont val="Times New Roman"/>
        <family val="1"/>
      </rPr>
      <t>7,6000 ha, din care: 
Carte Funciară  nr. 27555 Dumitrița, Nr. Cad. 27555; (Suprafața: 0,2850 ha); 
Carte Funciară nr. 27568 Dumitrița, Nr. Cad. 27568; (Suprafața: 7,3150 ha)</t>
    </r>
  </si>
  <si>
    <r>
      <t>Suprafața 4,5000 ha;</t>
    </r>
    <r>
      <rPr>
        <sz val="8"/>
        <rFont val="Times New Roman"/>
        <family val="1"/>
      </rPr>
      <t xml:space="preserve"> % Carte Funciară nr. 27485 Dumitrița, %NR. CAD 27485;</t>
    </r>
  </si>
  <si>
    <t>Suprafața 10,0000 ha; Carte Funciară nr. 60158 Vultureni, NR. CAD 60158;</t>
  </si>
  <si>
    <t>Suprafața 1,5134 ha; Carte Funciară nr.62095 Slănic-Moldova, NR. CAD 62095;</t>
  </si>
  <si>
    <t>Suprafața 5,0000 ha; Carte Funciară  nr. 70513 Cândești, NR. CAD 568;</t>
  </si>
  <si>
    <r>
      <rPr>
        <b/>
        <sz val="8"/>
        <rFont val="Times New Roman"/>
        <family val="1"/>
      </rPr>
      <t>Suprafața totală:</t>
    </r>
    <r>
      <rPr>
        <sz val="8"/>
        <rFont val="Times New Roman"/>
        <family val="1"/>
      </rPr>
      <t xml:space="preserve"> 5,8367 ha, din care: 
Carte Funciară  nr. 25103 Alexeni, Nr. Cad. 25103; (Suprafața: 1,7177 ha); 
Carte Funciară  nr. 25098 Alexeni, Nr. Cad. 25098; (Suprafața: 2,7061 ha); 
Carte Funciară  nr.25092 Alexeni, Nr. Cad. 25092; (Suprafața: 1,4129 ha); </t>
    </r>
  </si>
  <si>
    <r>
      <rPr>
        <b/>
        <sz val="8"/>
        <rFont val="Times New Roman"/>
        <family val="1"/>
      </rPr>
      <t xml:space="preserve">Suprafața totală: </t>
    </r>
    <r>
      <rPr>
        <sz val="8"/>
        <rFont val="Times New Roman"/>
        <family val="1"/>
      </rPr>
      <t>10,0000 ha, din care: 
Carte Funciară  nr.25584 Coșereni, Nr. Cad. 25584; (Suprafața: 6,3490 ha); 
Carte Funciară nr. 25646 Coșereni, Nr. Cad. 25646; (Suprafața: 3,6510 ha)</t>
    </r>
  </si>
  <si>
    <r>
      <rPr>
        <b/>
        <sz val="8"/>
        <rFont val="Times New Roman"/>
        <family val="1"/>
      </rPr>
      <t xml:space="preserve">Suprafața totală: 40,7852 ha, din care: 
</t>
    </r>
    <r>
      <rPr>
        <sz val="8"/>
        <rFont val="Times New Roman"/>
        <family val="1"/>
      </rPr>
      <t>Carte Funciară  nr,51126 Halmășd, Nr. Cad. 51126; (Suprafața: 5,7248 ha); 
Carte Funciară  nr.51127 Halmășd, Nr. Cad. 51127; (Suprafața: 6,0000 ha); 
Carte Funciară  nr.52012 Nușfalău, Nr. Cad. 52012; (Suprafața: 4,0000 ha); 
Carte Funciară nr. 52013 Nușfalău, Nr. Cad. 52013; (Suprafața: 6,7000 ha); 
Carte Funciară nr. 52014 Nușfalău, Nr. Cad. 52014; (Suprafața: 4,200 ha); 
Carte Funciară nr. 52016 Nușfalău, Nr. Cad. 52016; (Suprafața: 1,9000 ha); 
Carte Funciară  nr.52017 Nușfalău, Nr. Cad. 52017; (Suprafața: 4,0000 ha); 
Carte Funciară  nr.52073 Nușfalău, Nr. Cad. 52073; (Suprafața: 8,2604 ha);</t>
    </r>
  </si>
  <si>
    <t>Suprafața 29,5500 ha; Carte Funciară  nr.60431 Drăgușeni, Nr. Cad. 60431;</t>
  </si>
  <si>
    <t>Suprafața 10,5223 ha; Carte Funciară  nr.72632 Negrești, Nr. Cad. 72632;</t>
  </si>
  <si>
    <t xml:space="preserve"> Suprafața 9,7036 ha; Carte Funciară nr. 70122 Alexandru Vlahuță, Nr. Cad. 70122;</t>
  </si>
  <si>
    <t>Suprafața 6,0625 ha; Carte Funciară  nr. 22411 Albești, Nr. Cad. 22411;</t>
  </si>
  <si>
    <t>Anexă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</si>
</sst>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sz val="11"/>
      <color indexed="9"/>
      <name val="Calibri"/>
      <family val="2"/>
    </font>
    <font>
      <b/>
      <sz val="15"/>
      <color indexed="54"/>
      <name val="Calibri"/>
      <family val="2"/>
    </font>
    <font>
      <sz val="18"/>
      <color indexed="54"/>
      <name val="Calibri Light"/>
      <family val="2"/>
    </font>
    <font>
      <b/>
      <sz val="11"/>
      <color indexed="9"/>
      <name val="Calibri"/>
      <family val="2"/>
    </font>
    <font>
      <b/>
      <sz val="11"/>
      <color indexed="54"/>
      <name val="Calibri"/>
      <family val="2"/>
    </font>
    <font>
      <b/>
      <sz val="11"/>
      <color indexed="63"/>
      <name val="Calibri"/>
      <family val="2"/>
    </font>
    <font>
      <b/>
      <sz val="13"/>
      <color indexed="54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8"/>
      <color theme="1"/>
      <name val="Times New Roman"/>
      <family val="1"/>
    </font>
    <font>
      <b/>
      <i/>
      <sz val="8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338">
    <xf numFmtId="0" fontId="0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5" fillId="0" borderId="0"/>
    <xf numFmtId="0" fontId="4" fillId="0" borderId="0"/>
    <xf numFmtId="0" fontId="4" fillId="0" borderId="0"/>
    <xf numFmtId="0" fontId="7" fillId="4" borderId="0" applyNumberFormat="0" applyBorder="0" applyAlignment="0" applyProtection="0"/>
    <xf numFmtId="0" fontId="7" fillId="0" borderId="0" applyBorder="0" applyProtection="0"/>
    <xf numFmtId="0" fontId="11" fillId="0" borderId="0"/>
    <xf numFmtId="0" fontId="6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3" fillId="0" borderId="0"/>
    <xf numFmtId="0" fontId="10" fillId="0" borderId="0"/>
    <xf numFmtId="0" fontId="3" fillId="0" borderId="0"/>
    <xf numFmtId="0" fontId="7" fillId="2" borderId="0" applyNumberFormat="0" applyBorder="0" applyAlignment="0" applyProtection="0"/>
    <xf numFmtId="0" fontId="10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6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0" borderId="0"/>
    <xf numFmtId="0" fontId="7" fillId="4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13" fillId="3" borderId="1" applyNumberFormat="0" applyAlignment="0" applyProtection="0"/>
    <xf numFmtId="0" fontId="13" fillId="3" borderId="1" applyNumberFormat="0" applyAlignment="0" applyProtection="0"/>
    <xf numFmtId="0" fontId="17" fillId="15" borderId="2" applyNumberFormat="0" applyAlignment="0" applyProtection="0"/>
    <xf numFmtId="0" fontId="17" fillId="15" borderId="2" applyNumberFormat="0" applyAlignment="0" applyProtection="0"/>
    <xf numFmtId="0" fontId="7" fillId="0" borderId="0"/>
    <xf numFmtId="0" fontId="7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8" borderId="7" applyNumberFormat="0" applyFont="0" applyAlignment="0" applyProtection="0"/>
    <xf numFmtId="0" fontId="7" fillId="8" borderId="7" applyNumberFormat="0" applyFont="0" applyAlignment="0" applyProtection="0"/>
    <xf numFmtId="0" fontId="19" fillId="3" borderId="8" applyNumberFormat="0" applyAlignment="0" applyProtection="0"/>
    <xf numFmtId="0" fontId="19" fillId="3" borderId="8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/>
    <xf numFmtId="0" fontId="5" fillId="0" borderId="0"/>
    <xf numFmtId="0" fontId="10" fillId="0" borderId="0"/>
    <xf numFmtId="0" fontId="10" fillId="0" borderId="0"/>
    <xf numFmtId="0" fontId="7" fillId="0" borderId="0"/>
    <xf numFmtId="164" fontId="5" fillId="0" borderId="0" applyFont="0" applyFill="0" applyBorder="0" applyAlignment="0" applyProtection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164" fontId="5" fillId="0" borderId="0" applyFont="0" applyFill="0" applyBorder="0" applyAlignment="0" applyProtection="0"/>
    <xf numFmtId="0" fontId="10" fillId="0" borderId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8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7" fillId="0" borderId="0"/>
    <xf numFmtId="164" fontId="5" fillId="0" borderId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164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3">
    <xf numFmtId="0" fontId="0" fillId="0" borderId="0" xfId="0"/>
    <xf numFmtId="0" fontId="5" fillId="0" borderId="0" xfId="10" applyAlignment="1">
      <alignment vertical="center"/>
    </xf>
    <xf numFmtId="3" fontId="2" fillId="0" borderId="20" xfId="10" applyNumberFormat="1" applyFont="1" applyBorder="1" applyAlignment="1">
      <alignment horizontal="center" vertical="center" wrapText="1"/>
    </xf>
    <xf numFmtId="3" fontId="2" fillId="0" borderId="25" xfId="10" applyNumberFormat="1" applyFont="1" applyBorder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1" fontId="37" fillId="0" borderId="27" xfId="254" applyNumberFormat="1" applyFont="1" applyBorder="1" applyAlignment="1">
      <alignment horizontal="center" vertical="center" wrapText="1"/>
    </xf>
    <xf numFmtId="0" fontId="36" fillId="0" borderId="28" xfId="10" applyFont="1" applyBorder="1" applyAlignment="1">
      <alignment horizontal="center" vertical="center" wrapText="1"/>
    </xf>
    <xf numFmtId="1" fontId="36" fillId="0" borderId="29" xfId="10" applyNumberFormat="1" applyFont="1" applyBorder="1" applyAlignment="1">
      <alignment horizontal="center" vertical="center" wrapText="1"/>
    </xf>
    <xf numFmtId="1" fontId="36" fillId="0" borderId="30" xfId="10" applyNumberFormat="1" applyFont="1" applyBorder="1" applyAlignment="1">
      <alignment horizontal="center" vertical="center" wrapText="1"/>
    </xf>
    <xf numFmtId="0" fontId="36" fillId="0" borderId="31" xfId="10" applyFont="1" applyBorder="1" applyAlignment="1">
      <alignment horizontal="center" vertical="center" wrapText="1"/>
    </xf>
    <xf numFmtId="0" fontId="36" fillId="0" borderId="32" xfId="10" applyFont="1" applyBorder="1" applyAlignment="1">
      <alignment horizontal="center" vertical="center" wrapText="1"/>
    </xf>
    <xf numFmtId="3" fontId="36" fillId="0" borderId="29" xfId="10" applyNumberFormat="1" applyFont="1" applyBorder="1" applyAlignment="1">
      <alignment horizontal="center" vertical="center"/>
    </xf>
    <xf numFmtId="3" fontId="36" fillId="0" borderId="33" xfId="10" applyNumberFormat="1" applyFont="1" applyBorder="1" applyAlignment="1">
      <alignment horizontal="center" vertical="center"/>
    </xf>
    <xf numFmtId="0" fontId="36" fillId="0" borderId="30" xfId="10" applyFont="1" applyBorder="1" applyAlignment="1">
      <alignment horizontal="center" vertical="center"/>
    </xf>
    <xf numFmtId="0" fontId="36" fillId="0" borderId="30" xfId="10" applyFont="1" applyBorder="1" applyAlignment="1">
      <alignment horizontal="center" vertical="center" wrapText="1"/>
    </xf>
    <xf numFmtId="0" fontId="38" fillId="0" borderId="0" xfId="10" applyFont="1" applyAlignment="1">
      <alignment horizontal="center" vertical="center"/>
    </xf>
    <xf numFmtId="0" fontId="1" fillId="0" borderId="34" xfId="1" applyFont="1" applyBorder="1" applyAlignment="1">
      <alignment horizontal="center" vertical="center" wrapText="1"/>
    </xf>
    <xf numFmtId="1" fontId="39" fillId="0" borderId="35" xfId="254" applyNumberFormat="1" applyFont="1" applyBorder="1" applyAlignment="1">
      <alignment horizontal="center" vertical="center" wrapText="1"/>
    </xf>
    <xf numFmtId="14" fontId="1" fillId="0" borderId="34" xfId="10" applyNumberFormat="1" applyFont="1" applyBorder="1" applyAlignment="1">
      <alignment horizontal="center" vertical="center" wrapText="1"/>
    </xf>
    <xf numFmtId="0" fontId="1" fillId="0" borderId="36" xfId="10" applyFont="1" applyBorder="1" applyAlignment="1">
      <alignment horizontal="center" vertical="center" wrapText="1"/>
    </xf>
    <xf numFmtId="1" fontId="1" fillId="0" borderId="37" xfId="10" applyNumberFormat="1" applyFont="1" applyBorder="1" applyAlignment="1">
      <alignment horizontal="left" vertical="center" wrapText="1"/>
    </xf>
    <xf numFmtId="0" fontId="1" fillId="0" borderId="39" xfId="10" applyFont="1" applyBorder="1" applyAlignment="1">
      <alignment horizontal="center" vertical="center" wrapText="1"/>
    </xf>
    <xf numFmtId="14" fontId="1" fillId="0" borderId="34" xfId="10" applyNumberFormat="1" applyFont="1" applyBorder="1" applyAlignment="1">
      <alignment horizontal="center" vertical="center"/>
    </xf>
    <xf numFmtId="0" fontId="5" fillId="0" borderId="0" xfId="10" applyAlignment="1">
      <alignment horizontal="center" vertical="center" wrapText="1"/>
    </xf>
    <xf numFmtId="1" fontId="28" fillId="0" borderId="35" xfId="10" applyNumberFormat="1" applyFont="1" applyBorder="1" applyAlignment="1">
      <alignment horizontal="left" vertical="center" wrapText="1"/>
    </xf>
    <xf numFmtId="0" fontId="1" fillId="0" borderId="38" xfId="10" applyFont="1" applyBorder="1" applyAlignment="1">
      <alignment horizontal="center" vertical="center" wrapText="1"/>
    </xf>
    <xf numFmtId="0" fontId="1" fillId="0" borderId="16" xfId="10" applyFont="1" applyBorder="1" applyAlignment="1">
      <alignment horizontal="center" vertical="center" wrapText="1"/>
    </xf>
    <xf numFmtId="49" fontId="1" fillId="0" borderId="35" xfId="10" applyNumberFormat="1" applyFont="1" applyBorder="1" applyAlignment="1">
      <alignment horizontal="center" vertical="center" wrapText="1"/>
    </xf>
    <xf numFmtId="4" fontId="1" fillId="0" borderId="37" xfId="10" applyNumberFormat="1" applyFont="1" applyBorder="1" applyAlignment="1">
      <alignment horizontal="right" vertical="center"/>
    </xf>
    <xf numFmtId="1" fontId="1" fillId="0" borderId="35" xfId="10" applyNumberFormat="1" applyFont="1" applyBorder="1" applyAlignment="1">
      <alignment horizontal="left" vertical="center" wrapText="1"/>
    </xf>
    <xf numFmtId="0" fontId="1" fillId="0" borderId="41" xfId="10" applyFont="1" applyBorder="1" applyAlignment="1">
      <alignment horizontal="center" vertical="center" wrapText="1"/>
    </xf>
    <xf numFmtId="0" fontId="5" fillId="0" borderId="0" xfId="10" applyAlignment="1">
      <alignment vertical="center" wrapText="1"/>
    </xf>
    <xf numFmtId="0" fontId="31" fillId="0" borderId="0" xfId="10" applyFont="1" applyAlignment="1">
      <alignment vertical="center"/>
    </xf>
    <xf numFmtId="0" fontId="35" fillId="0" borderId="0" xfId="10" applyFont="1" applyAlignment="1">
      <alignment vertical="center"/>
    </xf>
    <xf numFmtId="0" fontId="42" fillId="0" borderId="0" xfId="10" applyFont="1" applyAlignment="1">
      <alignment vertical="center"/>
    </xf>
    <xf numFmtId="4" fontId="44" fillId="0" borderId="0" xfId="10" applyNumberFormat="1" applyFont="1" applyAlignment="1">
      <alignment horizontal="center" vertical="center"/>
    </xf>
    <xf numFmtId="0" fontId="30" fillId="0" borderId="0" xfId="10" applyFont="1" applyAlignment="1">
      <alignment vertical="center"/>
    </xf>
    <xf numFmtId="0" fontId="32" fillId="0" borderId="0" xfId="10" applyFont="1" applyAlignment="1">
      <alignment horizontal="center" vertical="center"/>
    </xf>
    <xf numFmtId="0" fontId="34" fillId="0" borderId="0" xfId="10" applyFont="1" applyAlignment="1">
      <alignment vertical="center"/>
    </xf>
    <xf numFmtId="0" fontId="1" fillId="0" borderId="0" xfId="10" applyFont="1" applyAlignment="1">
      <alignment vertical="center"/>
    </xf>
    <xf numFmtId="0" fontId="1" fillId="0" borderId="0" xfId="10" applyFont="1" applyAlignment="1">
      <alignment horizontal="center" vertical="center"/>
    </xf>
    <xf numFmtId="0" fontId="2" fillId="0" borderId="0" xfId="10" applyFont="1" applyAlignment="1">
      <alignment horizontal="left" vertical="center"/>
    </xf>
    <xf numFmtId="0" fontId="2" fillId="0" borderId="0" xfId="10" applyFont="1" applyAlignment="1">
      <alignment horizontal="center" vertical="center"/>
    </xf>
    <xf numFmtId="3" fontId="1" fillId="0" borderId="0" xfId="10" applyNumberFormat="1" applyFont="1" applyAlignment="1">
      <alignment horizontal="right" vertical="center"/>
    </xf>
    <xf numFmtId="0" fontId="31" fillId="0" borderId="0" xfId="10" applyFont="1" applyAlignment="1">
      <alignment horizontal="center" vertical="center"/>
    </xf>
    <xf numFmtId="0" fontId="5" fillId="0" borderId="0" xfId="10" applyAlignment="1">
      <alignment horizontal="center" vertical="center"/>
    </xf>
    <xf numFmtId="0" fontId="35" fillId="0" borderId="0" xfId="10" applyFont="1" applyAlignment="1">
      <alignment horizontal="center" vertical="center"/>
    </xf>
    <xf numFmtId="1" fontId="1" fillId="0" borderId="0" xfId="10" applyNumberFormat="1" applyFont="1" applyAlignment="1">
      <alignment horizontal="left" vertical="center" wrapText="1"/>
    </xf>
    <xf numFmtId="0" fontId="1" fillId="0" borderId="44" xfId="10" applyFont="1" applyBorder="1" applyAlignment="1">
      <alignment horizontal="center" vertical="center" wrapText="1"/>
    </xf>
    <xf numFmtId="4" fontId="1" fillId="0" borderId="0" xfId="10" applyNumberFormat="1" applyFont="1" applyAlignment="1">
      <alignment horizontal="right" vertical="center"/>
    </xf>
    <xf numFmtId="4" fontId="31" fillId="0" borderId="0" xfId="10" applyNumberFormat="1" applyFont="1" applyAlignment="1">
      <alignment vertical="center"/>
    </xf>
    <xf numFmtId="4" fontId="43" fillId="0" borderId="0" xfId="10" applyNumberFormat="1" applyFont="1" applyAlignment="1">
      <alignment horizontal="center" vertical="center"/>
    </xf>
    <xf numFmtId="4" fontId="5" fillId="0" borderId="0" xfId="10" applyNumberFormat="1" applyAlignment="1">
      <alignment vertical="center"/>
    </xf>
    <xf numFmtId="4" fontId="42" fillId="0" borderId="0" xfId="10" applyNumberFormat="1" applyFont="1" applyAlignment="1">
      <alignment vertical="center"/>
    </xf>
    <xf numFmtId="165" fontId="31" fillId="0" borderId="0" xfId="10" applyNumberFormat="1" applyFont="1" applyAlignment="1">
      <alignment vertical="center"/>
    </xf>
    <xf numFmtId="165" fontId="5" fillId="0" borderId="0" xfId="10" applyNumberFormat="1" applyAlignment="1">
      <alignment vertical="center"/>
    </xf>
    <xf numFmtId="165" fontId="43" fillId="0" borderId="0" xfId="10" applyNumberFormat="1" applyFont="1" applyAlignment="1">
      <alignment vertical="center"/>
    </xf>
    <xf numFmtId="165" fontId="44" fillId="0" borderId="0" xfId="10" applyNumberFormat="1" applyFont="1" applyAlignment="1">
      <alignment vertical="center"/>
    </xf>
    <xf numFmtId="4" fontId="38" fillId="0" borderId="38" xfId="10" applyNumberFormat="1" applyFont="1" applyBorder="1" applyAlignment="1">
      <alignment horizontal="center" vertical="center"/>
    </xf>
    <xf numFmtId="4" fontId="5" fillId="0" borderId="38" xfId="10" applyNumberFormat="1" applyBorder="1" applyAlignment="1">
      <alignment vertical="center"/>
    </xf>
    <xf numFmtId="4" fontId="5" fillId="0" borderId="13" xfId="10" applyNumberFormat="1" applyBorder="1" applyAlignment="1">
      <alignment horizontal="center" vertical="center"/>
    </xf>
    <xf numFmtId="4" fontId="5" fillId="0" borderId="10" xfId="10" applyNumberFormat="1" applyBorder="1" applyAlignment="1">
      <alignment horizontal="center" vertical="center" wrapText="1"/>
    </xf>
    <xf numFmtId="4" fontId="5" fillId="0" borderId="10" xfId="10" applyNumberFormat="1" applyBorder="1" applyAlignment="1">
      <alignment horizontal="center" vertical="center"/>
    </xf>
    <xf numFmtId="4" fontId="44" fillId="0" borderId="11" xfId="10" applyNumberFormat="1" applyFont="1" applyBorder="1" applyAlignment="1">
      <alignment horizontal="center" vertical="center"/>
    </xf>
    <xf numFmtId="4" fontId="38" fillId="0" borderId="43" xfId="10" applyNumberFormat="1" applyFont="1" applyBorder="1" applyAlignment="1">
      <alignment horizontal="center" vertical="center"/>
    </xf>
    <xf numFmtId="4" fontId="45" fillId="0" borderId="42" xfId="10" applyNumberFormat="1" applyFont="1" applyBorder="1" applyAlignment="1">
      <alignment horizontal="center" vertical="center"/>
    </xf>
    <xf numFmtId="4" fontId="5" fillId="0" borderId="43" xfId="10" applyNumberFormat="1" applyBorder="1" applyAlignment="1">
      <alignment vertical="center"/>
    </xf>
    <xf numFmtId="4" fontId="44" fillId="0" borderId="42" xfId="10" applyNumberFormat="1" applyFont="1" applyBorder="1" applyAlignment="1">
      <alignment horizontal="center" vertical="center"/>
    </xf>
    <xf numFmtId="4" fontId="5" fillId="0" borderId="20" xfId="10" applyNumberFormat="1" applyBorder="1" applyAlignment="1">
      <alignment vertical="center"/>
    </xf>
    <xf numFmtId="4" fontId="5" fillId="0" borderId="24" xfId="10" applyNumberFormat="1" applyBorder="1" applyAlignment="1">
      <alignment vertical="center"/>
    </xf>
    <xf numFmtId="4" fontId="44" fillId="0" borderId="25" xfId="10" applyNumberFormat="1" applyFont="1" applyBorder="1" applyAlignment="1">
      <alignment horizontal="center" vertical="center"/>
    </xf>
    <xf numFmtId="165" fontId="38" fillId="0" borderId="38" xfId="10" applyNumberFormat="1" applyFont="1" applyBorder="1" applyAlignment="1">
      <alignment horizontal="center" vertical="center"/>
    </xf>
    <xf numFmtId="165" fontId="45" fillId="0" borderId="38" xfId="10" applyNumberFormat="1" applyFont="1" applyBorder="1" applyAlignment="1">
      <alignment horizontal="center" vertical="center"/>
    </xf>
    <xf numFmtId="165" fontId="5" fillId="0" borderId="38" xfId="10" applyNumberFormat="1" applyBorder="1" applyAlignment="1">
      <alignment vertical="center"/>
    </xf>
    <xf numFmtId="165" fontId="44" fillId="0" borderId="38" xfId="10" applyNumberFormat="1" applyFont="1" applyBorder="1" applyAlignment="1">
      <alignment vertical="center"/>
    </xf>
    <xf numFmtId="165" fontId="35" fillId="0" borderId="38" xfId="10" applyNumberFormat="1" applyFont="1" applyBorder="1" applyAlignment="1">
      <alignment vertical="center"/>
    </xf>
    <xf numFmtId="165" fontId="5" fillId="0" borderId="13" xfId="10" applyNumberFormat="1" applyBorder="1" applyAlignment="1">
      <alignment horizontal="center" vertical="center" wrapText="1"/>
    </xf>
    <xf numFmtId="165" fontId="5" fillId="0" borderId="10" xfId="10" applyNumberFormat="1" applyBorder="1" applyAlignment="1">
      <alignment horizontal="center" vertical="center" wrapText="1"/>
    </xf>
    <xf numFmtId="165" fontId="44" fillId="0" borderId="10" xfId="10" applyNumberFormat="1" applyFont="1" applyBorder="1" applyAlignment="1">
      <alignment horizontal="center" vertical="center"/>
    </xf>
    <xf numFmtId="165" fontId="44" fillId="0" borderId="11" xfId="10" applyNumberFormat="1" applyFont="1" applyBorder="1" applyAlignment="1">
      <alignment horizontal="center" vertical="center"/>
    </xf>
    <xf numFmtId="165" fontId="38" fillId="0" borderId="43" xfId="10" applyNumberFormat="1" applyFont="1" applyBorder="1" applyAlignment="1">
      <alignment horizontal="center" vertical="center"/>
    </xf>
    <xf numFmtId="165" fontId="45" fillId="0" borderId="42" xfId="10" applyNumberFormat="1" applyFont="1" applyBorder="1" applyAlignment="1">
      <alignment horizontal="center" vertical="center"/>
    </xf>
    <xf numFmtId="165" fontId="5" fillId="0" borderId="43" xfId="10" applyNumberFormat="1" applyBorder="1" applyAlignment="1">
      <alignment vertical="center"/>
    </xf>
    <xf numFmtId="165" fontId="44" fillId="0" borderId="42" xfId="10" applyNumberFormat="1" applyFont="1" applyBorder="1" applyAlignment="1">
      <alignment vertical="center"/>
    </xf>
    <xf numFmtId="165" fontId="35" fillId="0" borderId="43" xfId="10" applyNumberFormat="1" applyFont="1" applyBorder="1" applyAlignment="1">
      <alignment vertical="center"/>
    </xf>
    <xf numFmtId="165" fontId="5" fillId="0" borderId="20" xfId="10" applyNumberFormat="1" applyBorder="1" applyAlignment="1">
      <alignment vertical="center"/>
    </xf>
    <xf numFmtId="165" fontId="5" fillId="0" borderId="24" xfId="10" applyNumberFormat="1" applyBorder="1" applyAlignment="1">
      <alignment vertical="center"/>
    </xf>
    <xf numFmtId="165" fontId="44" fillId="0" borderId="24" xfId="10" applyNumberFormat="1" applyFont="1" applyBorder="1" applyAlignment="1">
      <alignment vertical="center"/>
    </xf>
    <xf numFmtId="165" fontId="44" fillId="0" borderId="25" xfId="10" applyNumberFormat="1" applyFont="1" applyBorder="1" applyAlignment="1">
      <alignment vertical="center"/>
    </xf>
    <xf numFmtId="0" fontId="1" fillId="0" borderId="40" xfId="1" applyFont="1" applyBorder="1" applyAlignment="1">
      <alignment horizontal="center" vertical="center" wrapText="1"/>
    </xf>
    <xf numFmtId="1" fontId="39" fillId="0" borderId="45" xfId="254" applyNumberFormat="1" applyFont="1" applyBorder="1" applyAlignment="1">
      <alignment horizontal="center" vertical="center" wrapText="1"/>
    </xf>
    <xf numFmtId="14" fontId="1" fillId="0" borderId="40" xfId="10" applyNumberFormat="1" applyFont="1" applyBorder="1" applyAlignment="1">
      <alignment horizontal="center" vertical="center" wrapText="1"/>
    </xf>
    <xf numFmtId="1" fontId="28" fillId="0" borderId="45" xfId="10" applyNumberFormat="1" applyFont="1" applyBorder="1" applyAlignment="1">
      <alignment horizontal="left" vertical="center" wrapText="1"/>
    </xf>
    <xf numFmtId="0" fontId="1" fillId="0" borderId="46" xfId="10" applyFont="1" applyBorder="1" applyAlignment="1">
      <alignment horizontal="center" vertical="center" wrapText="1"/>
    </xf>
    <xf numFmtId="0" fontId="1" fillId="0" borderId="47" xfId="10" applyFont="1" applyBorder="1" applyAlignment="1">
      <alignment horizontal="center" vertical="center" wrapText="1"/>
    </xf>
    <xf numFmtId="14" fontId="1" fillId="0" borderId="40" xfId="10" applyNumberFormat="1" applyFont="1" applyBorder="1" applyAlignment="1">
      <alignment horizontal="center" vertical="center"/>
    </xf>
    <xf numFmtId="49" fontId="1" fillId="0" borderId="45" xfId="10" applyNumberFormat="1" applyFont="1" applyBorder="1" applyAlignment="1">
      <alignment horizontal="center" vertical="center" wrapText="1"/>
    </xf>
    <xf numFmtId="4" fontId="40" fillId="0" borderId="26" xfId="10" applyNumberFormat="1" applyFont="1" applyBorder="1" applyAlignment="1">
      <alignment vertical="center"/>
    </xf>
    <xf numFmtId="0" fontId="30" fillId="0" borderId="0" xfId="10" applyFont="1" applyAlignment="1">
      <alignment vertical="center" wrapText="1"/>
    </xf>
    <xf numFmtId="0" fontId="1" fillId="0" borderId="0" xfId="10" applyFont="1" applyAlignment="1">
      <alignment horizontal="center" vertical="center" wrapText="1"/>
    </xf>
    <xf numFmtId="0" fontId="1" fillId="0" borderId="15" xfId="10" applyFont="1" applyBorder="1" applyAlignment="1">
      <alignment horizontal="center" vertical="center" wrapText="1"/>
    </xf>
    <xf numFmtId="0" fontId="1" fillId="0" borderId="40" xfId="10" applyFont="1" applyBorder="1" applyAlignment="1">
      <alignment horizontal="center" vertical="center" wrapText="1"/>
    </xf>
    <xf numFmtId="0" fontId="40" fillId="0" borderId="26" xfId="10" applyFont="1" applyBorder="1" applyAlignment="1">
      <alignment horizontal="center" vertical="center"/>
    </xf>
    <xf numFmtId="0" fontId="40" fillId="0" borderId="29" xfId="10" applyFont="1" applyBorder="1" applyAlignment="1">
      <alignment horizontal="center" vertical="center"/>
    </xf>
    <xf numFmtId="0" fontId="40" fillId="0" borderId="28" xfId="10" applyFont="1" applyBorder="1" applyAlignment="1">
      <alignment horizontal="center" vertical="center"/>
    </xf>
    <xf numFmtId="3" fontId="41" fillId="0" borderId="26" xfId="10" applyNumberFormat="1" applyFont="1" applyBorder="1" applyAlignment="1">
      <alignment horizontal="center" vertical="center"/>
    </xf>
    <xf numFmtId="3" fontId="41" fillId="0" borderId="29" xfId="10" applyNumberFormat="1" applyFont="1" applyBorder="1" applyAlignment="1">
      <alignment horizontal="center" vertical="center"/>
    </xf>
    <xf numFmtId="3" fontId="41" fillId="0" borderId="28" xfId="10" applyNumberFormat="1" applyFont="1" applyBorder="1" applyAlignment="1">
      <alignment horizontal="center" vertical="center"/>
    </xf>
    <xf numFmtId="0" fontId="33" fillId="0" borderId="0" xfId="10" applyFont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3" xfId="10" applyFont="1" applyBorder="1" applyAlignment="1">
      <alignment horizontal="center" vertical="center"/>
    </xf>
    <xf numFmtId="0" fontId="2" fillId="0" borderId="20" xfId="10" applyFont="1" applyBorder="1" applyAlignment="1">
      <alignment horizontal="center" vertical="center"/>
    </xf>
    <xf numFmtId="49" fontId="2" fillId="0" borderId="17" xfId="10" applyNumberFormat="1" applyFont="1" applyBorder="1" applyAlignment="1">
      <alignment horizontal="center" vertical="center" wrapText="1"/>
    </xf>
    <xf numFmtId="49" fontId="2" fillId="0" borderId="21" xfId="10" applyNumberFormat="1" applyFont="1" applyBorder="1" applyAlignment="1">
      <alignment horizontal="center" vertical="center" wrapText="1"/>
    </xf>
    <xf numFmtId="0" fontId="2" fillId="0" borderId="17" xfId="10" applyFont="1" applyBorder="1" applyAlignment="1">
      <alignment horizontal="center" vertical="center" wrapText="1"/>
    </xf>
    <xf numFmtId="0" fontId="2" fillId="0" borderId="21" xfId="10" applyFont="1" applyBorder="1" applyAlignment="1">
      <alignment horizontal="center"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22" xfId="10" applyFont="1" applyBorder="1" applyAlignment="1">
      <alignment horizontal="center" vertical="center" wrapText="1"/>
    </xf>
    <xf numFmtId="0" fontId="2" fillId="0" borderId="13" xfId="10" applyFont="1" applyBorder="1" applyAlignment="1">
      <alignment horizontal="center" vertical="center" wrapText="1"/>
    </xf>
    <xf numFmtId="0" fontId="2" fillId="0" borderId="20" xfId="10" applyFont="1" applyBorder="1" applyAlignment="1">
      <alignment horizontal="center" vertical="center" wrapText="1"/>
    </xf>
    <xf numFmtId="0" fontId="2" fillId="0" borderId="18" xfId="10" applyFont="1" applyBorder="1" applyAlignment="1">
      <alignment horizontal="center" vertical="center" wrapText="1"/>
    </xf>
    <xf numFmtId="0" fontId="2" fillId="0" borderId="23" xfId="10" applyFont="1" applyBorder="1" applyAlignment="1">
      <alignment horizontal="center" vertical="center" wrapText="1"/>
    </xf>
    <xf numFmtId="49" fontId="2" fillId="0" borderId="10" xfId="10" applyNumberFormat="1" applyFont="1" applyBorder="1" applyAlignment="1">
      <alignment horizontal="center" vertical="center" wrapText="1"/>
    </xf>
    <xf numFmtId="49" fontId="2" fillId="0" borderId="24" xfId="10" applyNumberFormat="1" applyFont="1" applyBorder="1" applyAlignment="1">
      <alignment horizontal="center" vertical="center" wrapText="1"/>
    </xf>
    <xf numFmtId="0" fontId="2" fillId="0" borderId="11" xfId="10" applyFont="1" applyBorder="1" applyAlignment="1">
      <alignment horizontal="center" vertical="center" wrapText="1"/>
    </xf>
    <xf numFmtId="0" fontId="2" fillId="0" borderId="25" xfId="10" applyFont="1" applyBorder="1" applyAlignment="1">
      <alignment horizontal="center" vertical="center" wrapText="1"/>
    </xf>
    <xf numFmtId="3" fontId="2" fillId="0" borderId="14" xfId="10" applyNumberFormat="1" applyFont="1" applyBorder="1" applyAlignment="1">
      <alignment horizontal="center" vertical="center" wrapText="1"/>
    </xf>
    <xf numFmtId="3" fontId="2" fillId="0" borderId="22" xfId="10" applyNumberFormat="1" applyFont="1" applyBorder="1" applyAlignment="1">
      <alignment horizontal="center" vertical="center" wrapText="1"/>
    </xf>
    <xf numFmtId="3" fontId="2" fillId="0" borderId="15" xfId="10" applyNumberFormat="1" applyFont="1" applyBorder="1" applyAlignment="1">
      <alignment horizontal="center" vertical="center" wrapText="1"/>
    </xf>
    <xf numFmtId="3" fontId="2" fillId="0" borderId="48" xfId="10" applyNumberFormat="1" applyFont="1" applyBorder="1" applyAlignment="1">
      <alignment horizontal="center" vertical="center" wrapText="1"/>
    </xf>
    <xf numFmtId="3" fontId="2" fillId="0" borderId="13" xfId="10" applyNumberFormat="1" applyFont="1" applyBorder="1" applyAlignment="1">
      <alignment horizontal="center" vertical="center" wrapText="1"/>
    </xf>
    <xf numFmtId="3" fontId="2" fillId="0" borderId="11" xfId="10" applyNumberFormat="1" applyFont="1" applyBorder="1" applyAlignment="1">
      <alignment horizontal="center" vertical="center" wrapText="1"/>
    </xf>
  </cellXfs>
  <cellStyles count="338">
    <cellStyle name="20% - Accent1 2" xfId="83" xr:uid="{30EE215D-C2FC-40CB-9E07-D4EEE850DB39}"/>
    <cellStyle name="20% - Accent1 3" xfId="84" xr:uid="{94544972-10AC-46CE-8FDB-4D1D8084C9E7}"/>
    <cellStyle name="20% - Accent2 2" xfId="81" xr:uid="{DF47735B-0982-4C9E-933F-070B68249544}"/>
    <cellStyle name="20% - Accent2 3" xfId="82" xr:uid="{DDD1CB34-8A33-4F31-9218-98A5D5B0DBDD}"/>
    <cellStyle name="20% - Accent3 2" xfId="79" xr:uid="{2A7525E5-0281-47DA-8F1F-0CF5E3E2D664}"/>
    <cellStyle name="20% - Accent3 3" xfId="80" xr:uid="{2DF4B044-D364-43FA-AF74-F19A2211779A}"/>
    <cellStyle name="20% - Accent4 2" xfId="77" xr:uid="{FB7E49AF-BD4F-4A87-B0ED-426B17D98201}"/>
    <cellStyle name="20% - Accent4 3" xfId="78" xr:uid="{402F4525-29F9-444A-A3A0-2B515B30FE01}"/>
    <cellStyle name="20% - Accent5 2" xfId="75" xr:uid="{AFDF9097-EAC7-4FA2-AD99-3B47BD809689}"/>
    <cellStyle name="20% - Accent5 3" xfId="76" xr:uid="{5E52EE93-6BE1-40DA-A039-040FC8F16193}"/>
    <cellStyle name="20% - Accent6 2" xfId="73" xr:uid="{7CFF39D8-A7CB-44AF-8D85-3F63709F2E24}"/>
    <cellStyle name="20% - Accent6 3" xfId="74" xr:uid="{C9775B18-37CB-4920-A3E8-28D1AD60DFE6}"/>
    <cellStyle name="40% - Accent1 2" xfId="71" xr:uid="{32E9761D-9026-426A-8827-F5AD9EEAF533}"/>
    <cellStyle name="40% - Accent1 3" xfId="72" xr:uid="{4515B916-E6AC-4B0E-BD93-DB0FB1B6FCB4}"/>
    <cellStyle name="40% - Accent2 2" xfId="69" xr:uid="{4885FA5A-EFCA-4EE8-B668-6FCF019BB69D}"/>
    <cellStyle name="40% - Accent2 3" xfId="70" xr:uid="{0F63447C-8966-4DF6-88C8-2F22E65DA725}"/>
    <cellStyle name="40% - Accent3 2" xfId="67" xr:uid="{762F8D16-3091-4D5E-B5AA-05A00E893B84}"/>
    <cellStyle name="40% - Accent3 3" xfId="68" xr:uid="{22831C68-E705-470F-832D-CDDEF6A6891A}"/>
    <cellStyle name="40% - Accent4 2" xfId="65" xr:uid="{239D81C5-DB24-4DFB-8A13-CD8F12F1CBB1}"/>
    <cellStyle name="40% - Accent4 3" xfId="66" xr:uid="{F901ECA8-C378-48AD-A38C-70BAA87A13A8}"/>
    <cellStyle name="40% - Accent5 2" xfId="63" xr:uid="{51D11CBA-E4FC-4A73-ADD6-08EBE3B7CDD4}"/>
    <cellStyle name="40% - Accent5 3" xfId="64" xr:uid="{F833BF73-18EF-4D0A-99A0-8EA3F36B8C8E}"/>
    <cellStyle name="40% - Accent6 2" xfId="61" xr:uid="{2E4BBB04-5F78-49FD-9F9C-A1C49762755B}"/>
    <cellStyle name="40% - Accent6 3" xfId="62" xr:uid="{176417CC-8272-4DFF-AD1C-3EB2449B9E29}"/>
    <cellStyle name="60% - Accent1 2" xfId="59" xr:uid="{AE423A38-824A-4B77-B5C4-3D5F7DF8D2B6}"/>
    <cellStyle name="60% - Accent1 3" xfId="60" xr:uid="{DAE370DE-BF67-4388-B7B5-C5347C350442}"/>
    <cellStyle name="60% - Accent2 2" xfId="57" xr:uid="{9185B7AD-C98B-468A-862C-1BE0AFC2D63F}"/>
    <cellStyle name="60% - Accent2 3" xfId="58" xr:uid="{2028F7FA-B004-4DB1-ABA0-F35EAB6EC422}"/>
    <cellStyle name="60% - Accent3 2" xfId="55" xr:uid="{FB0BDBE1-6E6A-4E50-A4BC-C4310060A0F1}"/>
    <cellStyle name="60% - Accent3 3" xfId="56" xr:uid="{2EB225BB-BF5F-4555-BE04-3989DB6D986B}"/>
    <cellStyle name="60% - Accent4 2" xfId="53" xr:uid="{82DAFCFF-D5E6-44AD-8200-DA34F6CC44CB}"/>
    <cellStyle name="60% - Accent4 3" xfId="54" xr:uid="{8A42ACC7-C044-419D-A97D-3269B8F4548D}"/>
    <cellStyle name="60% - Accent5 2" xfId="39" xr:uid="{E61FDFE5-1989-42CD-B596-05557D81513D}"/>
    <cellStyle name="60% - Accent5 3" xfId="52" xr:uid="{138845CE-4035-470B-88BF-6F5C8E5BAD09}"/>
    <cellStyle name="60% - Accent6 2" xfId="86" xr:uid="{2A9FFDE3-DD49-467A-8FB5-A7279B899895}"/>
    <cellStyle name="60% - Accent6 3" xfId="13" xr:uid="{F09DC527-99F5-44A5-9B5E-808EBBEE2440}"/>
    <cellStyle name="Accent1 2" xfId="88" xr:uid="{29169BC3-1ED4-4A05-83B6-540E019B65F6}"/>
    <cellStyle name="Accent1 3" xfId="87" xr:uid="{79854EB7-1143-40DA-9A22-550C405D1D53}"/>
    <cellStyle name="Accent2 2" xfId="90" xr:uid="{73FAD744-3B73-44CC-967C-7C0FFCD400D6}"/>
    <cellStyle name="Accent2 3" xfId="89" xr:uid="{27D26234-CA24-4E2F-9007-4AF84F6D4C41}"/>
    <cellStyle name="Accent3 2" xfId="92" xr:uid="{92CB6456-4218-4FD6-AB78-C1FFA46D3478}"/>
    <cellStyle name="Accent3 3" xfId="91" xr:uid="{0CCAFD8C-30D3-419E-81C3-B2CC199669F5}"/>
    <cellStyle name="Accent4 2" xfId="94" xr:uid="{4F7BC7AE-78D0-4F3A-9A83-93FF09176EC7}"/>
    <cellStyle name="Accent4 3" xfId="93" xr:uid="{8F6D8A7F-6B95-4CBF-A0AF-12DEBAEF0D84}"/>
    <cellStyle name="Accent5 2" xfId="96" xr:uid="{0FB64B36-B909-4D27-A469-4D8CED646A7A}"/>
    <cellStyle name="Accent5 3" xfId="95" xr:uid="{DFAE5BA3-5084-4DD8-9304-49531E8E9D5E}"/>
    <cellStyle name="Accent6 2" xfId="98" xr:uid="{735739EF-0E01-433B-8877-4F01C03E01DD}"/>
    <cellStyle name="Accent6 3" xfId="97" xr:uid="{9A09B5F5-E5A3-4B49-A44C-9F1C6355A317}"/>
    <cellStyle name="Bad 2" xfId="100" xr:uid="{EBC561AB-C0F6-4D73-B4D3-8678FC86AB34}"/>
    <cellStyle name="Bad 3" xfId="99" xr:uid="{EF8D4127-37BB-40BB-8FF6-774C9987EE8F}"/>
    <cellStyle name="Calculation 2" xfId="102" xr:uid="{1C2BE194-7700-4045-AEB0-455D99E814A0}"/>
    <cellStyle name="Calculation 3" xfId="101" xr:uid="{92E9C2E4-D151-4853-A386-09FD1FD13A9F}"/>
    <cellStyle name="Check Cell 2" xfId="104" xr:uid="{E2DAF4F7-74FB-4053-947E-972E3129AE1B}"/>
    <cellStyle name="Check Cell 3" xfId="103" xr:uid="{D6336159-BD05-4C52-A395-DA2ACD9017DF}"/>
    <cellStyle name="Comma 2" xfId="274" xr:uid="{8B1677D7-8E1A-4C5D-80E7-A86302A7F254}"/>
    <cellStyle name="Comma 2 2" xfId="281" xr:uid="{F7EA9ED0-18DC-4C20-A46C-AA8EA218FE62}"/>
    <cellStyle name="Comma 2 3" xfId="283" xr:uid="{55249DFC-D727-43BC-A18D-621B2641E520}"/>
    <cellStyle name="Comma 2 4" xfId="259" xr:uid="{017B7AB0-4728-48DB-A694-324212058C87}"/>
    <cellStyle name="Comma 3" xfId="276" xr:uid="{4051FFAE-F7C8-4097-9853-9E7A880B7243}"/>
    <cellStyle name="Comma 3 2" xfId="282" xr:uid="{B590D8DA-5DF6-4C20-83C1-9A80253D0840}"/>
    <cellStyle name="Comma 3 3" xfId="286" xr:uid="{96512AE4-E5A9-4D1E-959F-D61D90975BBF}"/>
    <cellStyle name="Comma 4" xfId="332" xr:uid="{B6228C99-3EB1-4610-9FC3-E92EE5987A04}"/>
    <cellStyle name="Excel Built-in Normal" xfId="14" xr:uid="{E7FBA59C-F38D-4CF6-89A9-1C206D854352}"/>
    <cellStyle name="Excel Built-in Normal 1" xfId="7" xr:uid="{1C065DCD-A7F4-4D9B-BE68-CB18F688465A}"/>
    <cellStyle name="Excel Built-in Normal 2" xfId="106" xr:uid="{42043518-D890-49E8-A15A-E078860D6974}"/>
    <cellStyle name="Excel Built-in Normal 3" xfId="105" xr:uid="{B9111E70-D13A-4275-A39B-68B94027E76F}"/>
    <cellStyle name="Explanatory Text 2" xfId="108" xr:uid="{64DCB5F0-1288-4F97-B0EF-921144FD0027}"/>
    <cellStyle name="Explanatory Text 3" xfId="107" xr:uid="{3B915FD4-BCA0-4F7A-B57B-B5231C5C30E6}"/>
    <cellStyle name="Good 2" xfId="110" xr:uid="{0ADA342A-8E2C-41F5-B6F3-4B7671DE89C6}"/>
    <cellStyle name="Good 3" xfId="109" xr:uid="{E8A40122-6C01-486D-9074-253C923343B6}"/>
    <cellStyle name="Heading 1 2" xfId="112" xr:uid="{B4FA1F48-C2BF-4392-99C0-6F51E5B6C243}"/>
    <cellStyle name="Heading 1 3" xfId="111" xr:uid="{5CE19FC3-B46E-4827-9C6F-8C5FE71156B3}"/>
    <cellStyle name="Heading 2 2" xfId="114" xr:uid="{14D8A21F-85A2-4E3B-8AAE-648485614CA8}"/>
    <cellStyle name="Heading 2 3" xfId="113" xr:uid="{EA31A850-A2BB-40FA-A321-4A16FD29BDB7}"/>
    <cellStyle name="Heading 3 2" xfId="116" xr:uid="{E93EB604-D104-47FB-82E1-A14548287BA4}"/>
    <cellStyle name="Heading 3 3" xfId="115" xr:uid="{D565E415-E993-4D8C-9B62-E7D906CD7271}"/>
    <cellStyle name="Heading 4 2" xfId="118" xr:uid="{B7751CB6-FF26-4780-BFD0-2B5886E96779}"/>
    <cellStyle name="Heading 4 3" xfId="117" xr:uid="{C04716D9-E643-453E-AD2D-0FE541CE3ED8}"/>
    <cellStyle name="Input 2" xfId="120" xr:uid="{CDFAA376-7415-4BCE-9463-D61AB3848E21}"/>
    <cellStyle name="Input 3" xfId="119" xr:uid="{CE710B4B-7350-4716-91CC-9D5C618ED738}"/>
    <cellStyle name="Linked Cell 2" xfId="122" xr:uid="{9BFDEDEA-8E44-4BDF-8A28-2F6E84A6779C}"/>
    <cellStyle name="Linked Cell 3" xfId="121" xr:uid="{7A862E40-07D5-4509-AE46-F0847963926B}"/>
    <cellStyle name="Neutral 2" xfId="124" xr:uid="{013F881C-0DF9-4F5D-956C-96B9CC7B9304}"/>
    <cellStyle name="Neutral 3" xfId="123" xr:uid="{26D60A3F-50D2-48BD-B30F-86D28D7A329C}"/>
    <cellStyle name="Normal" xfId="0" builtinId="0"/>
    <cellStyle name="Normal 10" xfId="15" xr:uid="{D7878006-B154-424B-85CE-FB5EF202A014}"/>
    <cellStyle name="Normál 10" xfId="16" xr:uid="{172FC898-F8C8-48AA-B26C-6AFB7EACE923}"/>
    <cellStyle name="Normal 10 2" xfId="127" xr:uid="{EBA4A91A-190E-45CF-AD7A-598447A056BA}"/>
    <cellStyle name="Normál 10 2" xfId="128" xr:uid="{80EF06D8-14F4-4AA5-9647-479016FA4ED3}"/>
    <cellStyle name="Normal 10 3" xfId="129" xr:uid="{EFFB13DE-9CB7-4A61-9C10-77A905AAE2E1}"/>
    <cellStyle name="Normál 10 3" xfId="130" xr:uid="{6A64A6B2-96E3-45AE-BD1F-582EBC04F1C3}"/>
    <cellStyle name="Normal 10 4" xfId="131" xr:uid="{66F62058-AB63-495D-B93D-5E7097E5C43A}"/>
    <cellStyle name="Normál 10 4" xfId="132" xr:uid="{218FDE6A-0541-45FF-B2B4-9A60AD1B4A3F}"/>
    <cellStyle name="Normal 10 5" xfId="133" xr:uid="{3F1E291E-9DD3-44BA-BCC9-F8C6FCE1997E}"/>
    <cellStyle name="Normál 10 5" xfId="134" xr:uid="{6C3C0424-DF5E-4A32-A002-57994820DF30}"/>
    <cellStyle name="Normal 10 6" xfId="125" xr:uid="{0FD96B74-4F75-493B-80A3-2313EA08AEC1}"/>
    <cellStyle name="Normál 10 6" xfId="126" xr:uid="{0C51E5B7-5956-4DA5-96FF-243836ADEB47}"/>
    <cellStyle name="Normal 11" xfId="17" xr:uid="{B7835477-079D-4DF7-89F1-DC8A97E31946}"/>
    <cellStyle name="Normál 11" xfId="18" xr:uid="{76DF94BF-5C1B-4099-929F-5D4B7E997A29}"/>
    <cellStyle name="Normal 11 2" xfId="137" xr:uid="{0FF072BB-827B-48A0-A7E4-5060C9957A38}"/>
    <cellStyle name="Normál 11 2" xfId="19" xr:uid="{C564EFCE-554A-4049-8FBC-84359D9F2E4B}"/>
    <cellStyle name="Normál 11 2 2" xfId="139" xr:uid="{40F61BDE-29BE-44A5-BD32-DC9A2031E006}"/>
    <cellStyle name="Normál 11 2 3" xfId="138" xr:uid="{66263E73-306F-47E6-80B6-9923F77E67CD}"/>
    <cellStyle name="Normal 11 3" xfId="140" xr:uid="{5394EFA7-AC05-4339-9A6C-B40D3CC12343}"/>
    <cellStyle name="Normál 11 3" xfId="141" xr:uid="{4F0E2D73-6A8E-4BD0-BBD9-5EB9EBD49ED8}"/>
    <cellStyle name="Normal 11 4" xfId="142" xr:uid="{616BF75D-C6A8-4F7A-AD9B-87567301E449}"/>
    <cellStyle name="Normál 11 4" xfId="143" xr:uid="{E3E316A8-0ACF-496C-9F28-B5AD41C62298}"/>
    <cellStyle name="Normal 11 5" xfId="144" xr:uid="{5BA89CBB-080C-4C96-8D1B-EC13480E417F}"/>
    <cellStyle name="Normál 11 5" xfId="145" xr:uid="{66E323C2-C4CC-4C2B-AEAD-5E125EEFE03C}"/>
    <cellStyle name="Normal 11 6" xfId="135" xr:uid="{7FC49308-A4C8-49F4-9A15-EA90C268CECE}"/>
    <cellStyle name="Normál 11 6" xfId="146" xr:uid="{980E4D12-9303-4D29-AFA8-A177D3B5C1E4}"/>
    <cellStyle name="Normál 11 7" xfId="136" xr:uid="{E483A666-A940-4CE6-A634-2253FB94872A}"/>
    <cellStyle name="Normal 12" xfId="20" xr:uid="{A544FDCB-E815-4AD7-9AD3-AA83DF79355D}"/>
    <cellStyle name="Normál 12" xfId="21" xr:uid="{EC1F2921-0B11-4AEB-AC5E-D95661B41F1F}"/>
    <cellStyle name="Normal 12 2" xfId="149" xr:uid="{7CBFA960-410C-4008-848F-C71CE228231C}"/>
    <cellStyle name="Normál 12 2" xfId="22" xr:uid="{ACCAD75A-1DC7-4523-B159-3FFFCCF2381A}"/>
    <cellStyle name="Normál 12 2 2" xfId="151" xr:uid="{7539E081-11F7-4F0F-A662-63887AECE43D}"/>
    <cellStyle name="Normál 12 2 3" xfId="150" xr:uid="{73EA5AC1-A670-435C-8D05-56A4DBB413B2}"/>
    <cellStyle name="Normal 12 3" xfId="152" xr:uid="{A408C70E-C852-4B05-A25F-75EDCCFAFC5E}"/>
    <cellStyle name="Normál 12 3" xfId="153" xr:uid="{B22E5C30-22F1-42BD-B35C-162C9EF545DB}"/>
    <cellStyle name="Normal 12 4" xfId="154" xr:uid="{82D401E6-F3A7-49C4-B491-1ED92C83D9D7}"/>
    <cellStyle name="Normál 12 4" xfId="155" xr:uid="{4C6A59EC-63A4-4A44-9CC3-6B44C52452B3}"/>
    <cellStyle name="Normal 12 5" xfId="156" xr:uid="{CDC231A8-881F-4FDA-A39B-5665F9867D73}"/>
    <cellStyle name="Normál 12 5" xfId="157" xr:uid="{836A2271-15E3-4537-90C9-077F035B03A4}"/>
    <cellStyle name="Normal 12 6" xfId="147" xr:uid="{8027695A-583E-40EA-A8C9-FC25750175CA}"/>
    <cellStyle name="Normál 12 6" xfId="158" xr:uid="{97ADB63D-08D4-4F7C-A1DD-617E41618EA9}"/>
    <cellStyle name="Normál 12 7" xfId="148" xr:uid="{2CF6C5F5-178C-45CF-920F-1888C76C9A2E}"/>
    <cellStyle name="Normal 13" xfId="23" xr:uid="{BA0ACD99-154D-4317-AD1A-6B47E8D8CF23}"/>
    <cellStyle name="Normal 13 2" xfId="160" xr:uid="{2B7A525C-5FE9-4C6E-85F4-9106481FF308}"/>
    <cellStyle name="Normal 13 3" xfId="159" xr:uid="{3C1B9527-1F53-4A5E-8E0A-6C255A936307}"/>
    <cellStyle name="Normal 14" xfId="24" xr:uid="{A3DF0863-56E4-43CD-8E2D-C068A61CC0A3}"/>
    <cellStyle name="Normal 14 2" xfId="162" xr:uid="{00E8C20D-7413-4CBE-968C-91BB627D1C48}"/>
    <cellStyle name="Normal 14 3" xfId="161" xr:uid="{E5C8AB63-E40C-40B7-9A90-74CC970A31B4}"/>
    <cellStyle name="Normal 15" xfId="25" xr:uid="{FCF8BE42-FF1E-4580-B523-D2578A26FED6}"/>
    <cellStyle name="Normal 15 2" xfId="258" xr:uid="{DA779C4B-958B-4B56-B82C-AF1BF0D16BEA}"/>
    <cellStyle name="Normal 15 3" xfId="10" xr:uid="{F115660C-96B0-46BD-BDFB-51377ECDF469}"/>
    <cellStyle name="Normal 15 3 2" xfId="278" xr:uid="{4C39188F-ADA7-4EF1-884C-54FF2B6E49AF}"/>
    <cellStyle name="Normal 15 4" xfId="326" xr:uid="{238B4E79-5D79-487F-B70E-3F74C21C779E}"/>
    <cellStyle name="Normal 16" xfId="26" xr:uid="{0F9B4F37-F87A-47C9-BCE9-682AF52004F6}"/>
    <cellStyle name="Normal 16 2" xfId="164" xr:uid="{D9EC41A0-BFB5-4DFC-B113-65BC514BF096}"/>
    <cellStyle name="Normal 16 3" xfId="163" xr:uid="{63F09979-417A-45DB-9C82-D9744B337A2F}"/>
    <cellStyle name="Normal 17" xfId="27" xr:uid="{85F7875A-BD17-412E-BD44-506C3D336410}"/>
    <cellStyle name="Normal 17 2" xfId="166" xr:uid="{F3829590-50F5-481F-89B3-C28D497556F1}"/>
    <cellStyle name="Normal 17 3" xfId="165" xr:uid="{2CD45DCC-011B-4B44-B840-A76B4286FF61}"/>
    <cellStyle name="Normal 18" xfId="28" xr:uid="{B7C56A86-A8B8-4A8F-A894-C6BB2794CF25}"/>
    <cellStyle name="Normal 18 2" xfId="168" xr:uid="{05B2BA89-EB58-49B2-A738-C58B73F668D5}"/>
    <cellStyle name="Normal 18 3" xfId="167" xr:uid="{DC3EB58C-6EE7-4DB9-B51A-592805B9387C}"/>
    <cellStyle name="Normal 19" xfId="29" xr:uid="{707DF309-3F18-40B1-8383-E4581A5766B3}"/>
    <cellStyle name="Normal 19 2" xfId="170" xr:uid="{FC346183-DC4B-48F9-8463-A29316367AE8}"/>
    <cellStyle name="Normal 19 3" xfId="169" xr:uid="{59D9690D-6562-416A-8906-0CAC92338DF4}"/>
    <cellStyle name="Normal 2" xfId="11" xr:uid="{AE8E9262-CB02-45A4-833A-59BDDF96EA80}"/>
    <cellStyle name="Normal 2 2" xfId="12" xr:uid="{73A0E00C-7096-48B8-87F9-BA67DF08D50C}"/>
    <cellStyle name="Normal 2 2 2" xfId="31" xr:uid="{462036AC-AEBE-4548-A1ED-861C21812319}"/>
    <cellStyle name="Normal 2 2 2 2" xfId="173" xr:uid="{AB49C356-23BE-4875-A977-6F27B43AF68F}"/>
    <cellStyle name="Normal 2 2 3" xfId="172" xr:uid="{58B107AE-3FAA-4C7C-82C3-E44AB343E76C}"/>
    <cellStyle name="Normal 2 3" xfId="30" xr:uid="{202CD3E8-FD5B-4204-8647-115447550E14}"/>
    <cellStyle name="Normal 2 3 2" xfId="174" xr:uid="{520CF581-7F0E-4E76-994A-F1A5E2EF2D06}"/>
    <cellStyle name="Normal 2 4" xfId="171" xr:uid="{17CBD0F4-76A2-4E35-B5D9-6200D070CF85}"/>
    <cellStyle name="Normal 2 4 2" xfId="279" xr:uid="{9A20473A-BC6C-412E-9D9E-BB7E6199DD3C}"/>
    <cellStyle name="Normal 20" xfId="32" xr:uid="{F9601CD4-2F32-46B8-BDC8-88933F493800}"/>
    <cellStyle name="Normal 20 2" xfId="176" xr:uid="{40D31FFA-6A33-45E7-A6C3-F8250DE454F3}"/>
    <cellStyle name="Normal 20 3" xfId="175" xr:uid="{61FA3693-1FE9-49C4-92C4-5CB4D4BDB0EF}"/>
    <cellStyle name="Normal 21" xfId="33" xr:uid="{F165ECAA-A569-4FED-8BCE-5D80DA0BC695}"/>
    <cellStyle name="Normal 21 2" xfId="178" xr:uid="{0BE47620-6066-4EAE-94DF-9DC8F511C540}"/>
    <cellStyle name="Normal 21 3" xfId="177" xr:uid="{7246B68F-55FF-4288-ABA8-BFCDB33D32F6}"/>
    <cellStyle name="Normal 22" xfId="34" xr:uid="{38B2331F-3923-498F-9BBF-2403E59E976E}"/>
    <cellStyle name="Normal 22 2" xfId="179" xr:uid="{5BAA7A21-8607-40E6-A1A8-D69D73E56EB8}"/>
    <cellStyle name="Normal 22 2 2" xfId="320" xr:uid="{294DE9E9-6F4E-492E-BB6B-6BCC7A73FAF1}"/>
    <cellStyle name="Normal 23" xfId="35" xr:uid="{41F620AC-A6F5-4DFC-8954-627B58B2CA11}"/>
    <cellStyle name="Normal 23 2" xfId="180" xr:uid="{3757B7E4-E4CB-4C79-9002-4CBB8B428659}"/>
    <cellStyle name="Normal 23 3" xfId="316" xr:uid="{B522122E-1AB4-4B9D-ACF6-2AEBF675DD01}"/>
    <cellStyle name="Normal 23 4" xfId="329" xr:uid="{1066B621-7402-4F7A-864A-0151F4C0BDAD}"/>
    <cellStyle name="Normal 24" xfId="181" xr:uid="{E5CAA6D8-8013-46D3-A506-CAC18ADD1FC8}"/>
    <cellStyle name="Normal 24 2" xfId="323" xr:uid="{2741DA2D-CE68-4CD4-802E-EFFE90C7B3FA}"/>
    <cellStyle name="Normal 25" xfId="85" xr:uid="{A8B4DE08-6A16-4392-8002-1AE7C2295100}"/>
    <cellStyle name="Normal 25 2" xfId="272" xr:uid="{BF098678-CB08-438E-82BD-A2C75F0D13F0}"/>
    <cellStyle name="Normal 25 3" xfId="321" xr:uid="{BDCBE460-F79B-48E9-BDEE-58CED651A910}"/>
    <cellStyle name="Normal 25 4" xfId="255" xr:uid="{5E133C7E-D118-4859-B6BB-627CFDC1AEBE}"/>
    <cellStyle name="Normal 26" xfId="2" xr:uid="{F47F4012-036B-4F7A-B030-73D98BA68C07}"/>
    <cellStyle name="Normal 26 2" xfId="314" xr:uid="{F9437515-B71F-4D30-9C74-21A1912ED8F2}"/>
    <cellStyle name="Normal 26 3" xfId="311" xr:uid="{BC046C44-C26F-47EB-96EE-28C76D6E37DF}"/>
    <cellStyle name="Normal 27" xfId="254" xr:uid="{4AD5A9F3-BE2B-4129-B5E8-E0809379381F}"/>
    <cellStyle name="Normal 27 2" xfId="266" xr:uid="{C52D9EBD-61F2-4C62-A9DA-6D8A03F14AD6}"/>
    <cellStyle name="Normal 28" xfId="308" xr:uid="{50A4F5F2-035D-40C5-B947-94E5CE833A4D}"/>
    <cellStyle name="Normal 29" xfId="265" xr:uid="{A6EF3331-2705-4D98-8973-12BA07ED16CA}"/>
    <cellStyle name="Normal 3" xfId="36" xr:uid="{94352B6C-D192-47F5-A680-71961EAE2F92}"/>
    <cellStyle name="Normal 3 2" xfId="37" xr:uid="{5740902A-8A10-473B-A9F6-7110E6F97E57}"/>
    <cellStyle name="Normal 3 2 2" xfId="184" xr:uid="{47AA242F-7232-44A7-94F1-C2AECCB2F453}"/>
    <cellStyle name="Normal 3 2 3" xfId="183" xr:uid="{5AB0093A-2987-426E-B7C1-F3341F3563F4}"/>
    <cellStyle name="Normal 3 3" xfId="38" xr:uid="{CC5D2D51-EC47-48ED-8A58-076979662ED2}"/>
    <cellStyle name="Normal 3 3 2" xfId="186" xr:uid="{01B35350-EFEA-403E-925C-5E984B62D1F0}"/>
    <cellStyle name="Normal 3 3 3" xfId="185" xr:uid="{B0F59A86-1370-4AD5-B87F-28E5A56D151D}"/>
    <cellStyle name="Normal 3 4" xfId="187" xr:uid="{FF09E7ED-4A98-41C9-8DFB-26CF0645AC11}"/>
    <cellStyle name="Normal 3 5" xfId="182" xr:uid="{2A3C30CB-DCC2-4BA1-AEAA-A87904096016}"/>
    <cellStyle name="Normal 3 5 2" xfId="330" xr:uid="{A7B67239-2F10-4CEC-AF1B-6677D340FA9A}"/>
    <cellStyle name="Normal 30" xfId="4" xr:uid="{D55BD04F-FA99-484F-B0EC-AC1F20110775}"/>
    <cellStyle name="Normal 30 2" xfId="277" xr:uid="{EDB79479-43F2-4ABA-8621-A138E150AD38}"/>
    <cellStyle name="Normal 31" xfId="310" xr:uid="{29C29F22-67E6-413D-8415-5E39E9216B97}"/>
    <cellStyle name="Normal 32" xfId="303" xr:uid="{0D0E787B-49A9-4509-B0FE-D51ECCCADE77}"/>
    <cellStyle name="Normal 33" xfId="302" xr:uid="{FA5D1039-4AFE-4B8B-8292-471A7E1DE3D1}"/>
    <cellStyle name="Normal 34" xfId="301" xr:uid="{A18D280B-3C93-4184-9888-D107A1DF4C63}"/>
    <cellStyle name="Normal 35" xfId="299" xr:uid="{1DBC1B90-F0CE-4B32-BB2B-ACFE93899602}"/>
    <cellStyle name="Normal 36" xfId="300" xr:uid="{3667E2CE-062F-4543-B573-25B2E2D73ADB}"/>
    <cellStyle name="Normal 37" xfId="269" xr:uid="{2387B894-D02B-433B-957D-987616B04C14}"/>
    <cellStyle name="Normal 38" xfId="312" xr:uid="{163DDC2B-4079-425E-83BB-BCECB208D1B7}"/>
    <cellStyle name="Normal 39" xfId="298" xr:uid="{2D563F91-05EE-4938-833F-00BDF298E027}"/>
    <cellStyle name="Normal 4" xfId="3" xr:uid="{6DEA0E36-575C-40BE-AAB7-4B973CBB2EAC}"/>
    <cellStyle name="Normal 4 2" xfId="189" xr:uid="{D2935907-B335-4B81-9321-E69B5C6CE802}"/>
    <cellStyle name="Normal 4 3" xfId="188" xr:uid="{46DFE08A-04CF-452B-BE15-4C8FAF550D21}"/>
    <cellStyle name="Normal 4 3 3" xfId="9" xr:uid="{6A74AA13-206F-4207-B923-216BBC2ADEEF}"/>
    <cellStyle name="Normal 40" xfId="313" xr:uid="{13B4EF35-5996-4629-B73F-73D313B57104}"/>
    <cellStyle name="Normal 41" xfId="262" xr:uid="{AA1CA81D-7F03-4220-98FF-4814B518B7D8}"/>
    <cellStyle name="Normal 42" xfId="6" xr:uid="{79290F82-9D2D-44B1-9056-9597FFA84DA7}"/>
    <cellStyle name="Normal 42 2" xfId="280" xr:uid="{04534E5F-21AA-44FD-AF07-8213DAAE33A5}"/>
    <cellStyle name="Normal 43" xfId="8" xr:uid="{79F1E831-072C-43E9-A924-940420F378B2}"/>
    <cellStyle name="Normal 44" xfId="285" xr:uid="{74CEAF3F-CC2C-48EE-BC10-40DF8F8DBC2B}"/>
    <cellStyle name="Normal 45" xfId="263" xr:uid="{7C5554BB-6401-4DF8-8092-D0D9FB8FF1E3}"/>
    <cellStyle name="Normal 46" xfId="5" xr:uid="{2DA7EDBC-340F-458B-8D08-0437AA88BFA6}"/>
    <cellStyle name="Normal 46 2" xfId="327" xr:uid="{4139C4E7-AAB0-4E9E-80F4-590F8B3963F8}"/>
    <cellStyle name="Normal 47" xfId="264" xr:uid="{842242EE-9B7E-4AD4-9DC1-96065E87F3A5}"/>
    <cellStyle name="Normal 48" xfId="295" xr:uid="{FCF6F003-1532-4E19-9E0C-0AC530F740BC}"/>
    <cellStyle name="Normal 49" xfId="284" xr:uid="{D42EDB51-68FC-43BA-990D-3815E6F32A39}"/>
    <cellStyle name="Normal 5" xfId="40" xr:uid="{17402075-573C-4427-BBA0-F466599CC342}"/>
    <cellStyle name="Normál 5" xfId="41" xr:uid="{25505DED-1944-48A6-8971-606BEC17EEA5}"/>
    <cellStyle name="Normal 5 10" xfId="297" xr:uid="{0155C354-4FD9-4F50-A5CF-A79D71A20458}"/>
    <cellStyle name="Normal 5 11" xfId="271" xr:uid="{AC6C7C6E-F3D4-4512-8091-7BB6B814156B}"/>
    <cellStyle name="Normal 5 12" xfId="307" xr:uid="{AE5C24E8-4DE9-4C95-A7F8-7016D944031B}"/>
    <cellStyle name="Normal 5 13" xfId="317" xr:uid="{B2A85037-A98C-4C49-8DF7-C82CD08D7A92}"/>
    <cellStyle name="Normal 5 14" xfId="296" xr:uid="{4BABDD0E-F161-42E3-A5F5-01C031599038}"/>
    <cellStyle name="Normal 5 15" xfId="270" xr:uid="{A357E7E6-EF40-450C-8F33-139D23BD868B}"/>
    <cellStyle name="Normal 5 16" xfId="306" xr:uid="{A5986A37-FE0E-4B0F-9647-9F63A87320F2}"/>
    <cellStyle name="Normal 5 17" xfId="315" xr:uid="{0AFA63B2-2FFC-41AC-8B8A-22A12D834395}"/>
    <cellStyle name="Normal 5 18" xfId="305" xr:uid="{36A9246E-0494-474B-8E3F-3AA6D56CA9DD}"/>
    <cellStyle name="Normal 5 19" xfId="257" xr:uid="{213B9783-86F5-47BB-8219-2AA38C0D5D06}"/>
    <cellStyle name="Normal 5 2" xfId="192" xr:uid="{756FD7E8-2F85-4D26-A5EF-2C54B1907E19}"/>
    <cellStyle name="Normál 5 2" xfId="193" xr:uid="{3B3288F9-4B9F-4D54-9538-5E0BD1BD3CEE}"/>
    <cellStyle name="Normal 5 2 2" xfId="275" xr:uid="{412B23E4-99F8-40BB-9E66-310AD4EABD34}"/>
    <cellStyle name="Normal 5 2 3" xfId="333" xr:uid="{C6C6C417-ECBB-4806-9C50-53B619480D14}"/>
    <cellStyle name="Normal 5 20" xfId="304" xr:uid="{FC430252-F45E-4B25-8585-3CB2AA4CDCC4}"/>
    <cellStyle name="Normal 5 21" xfId="318" xr:uid="{67EE941F-F4D3-4C41-A586-8E1A224A1362}"/>
    <cellStyle name="Normal 5 22" xfId="328" xr:uid="{8EB37934-53EB-4119-ABE3-1DCB2363777F}"/>
    <cellStyle name="Normal 5 23" xfId="325" xr:uid="{4A2503DB-991C-44B9-91F0-68AA27CB7E9F}"/>
    <cellStyle name="Normal 5 24" xfId="292" xr:uid="{D5D4D4A5-2A79-40AF-A7E7-B4AF8E7369BE}"/>
    <cellStyle name="Normal 5 25" xfId="288" xr:uid="{6D0D9714-1652-4E74-B97A-C6BFB785313B}"/>
    <cellStyle name="Normal 5 26" xfId="289" xr:uid="{7C4466A8-D34C-405C-A5DC-8BB8F1C649A9}"/>
    <cellStyle name="Normal 5 27" xfId="260" xr:uid="{DF59A79C-B7DE-480C-8509-A38D68716F01}"/>
    <cellStyle name="Normal 5 3" xfId="194" xr:uid="{606F83B3-212F-4FB9-AB52-63B9E4F37933}"/>
    <cellStyle name="Normál 5 3" xfId="195" xr:uid="{C75B219D-5B79-462C-A12F-443B6441F7A7}"/>
    <cellStyle name="Normal 5 3 2" xfId="268" xr:uid="{DE1F9E7C-09F6-4F56-AB40-F29434E454CF}"/>
    <cellStyle name="Normal 5 3 3" xfId="336" xr:uid="{7BABD9E5-07BE-40A3-87EB-1F6E66EB6E9A}"/>
    <cellStyle name="Normal 5 4" xfId="196" xr:uid="{EC582B3D-54CA-45B7-BD9B-FE0E3106649D}"/>
    <cellStyle name="Normál 5 4" xfId="197" xr:uid="{9ED7ED44-C2C4-4FFE-A7CC-FE5FB5C1DA50}"/>
    <cellStyle name="Normal 5 4 2" xfId="273" xr:uid="{75D80F05-04E6-4540-B69F-59C97FC062E8}"/>
    <cellStyle name="Normal 5 4 3" xfId="335" xr:uid="{4CFA845C-2011-4894-8D94-B82FAB8A09B6}"/>
    <cellStyle name="Normal 5 5" xfId="198" xr:uid="{59CF40CA-0C08-4979-9788-F6DFF18B91F1}"/>
    <cellStyle name="Normál 5 5" xfId="199" xr:uid="{3257A7A0-6A44-471D-8D73-E2FA3BB14563}"/>
    <cellStyle name="Normal 5 5 2" xfId="256" xr:uid="{3E293A97-C1C9-4EC4-A476-A22EB325D362}"/>
    <cellStyle name="Normal 5 5 3" xfId="337" xr:uid="{8701FDA9-13A8-424A-AEBB-FB2DF663A917}"/>
    <cellStyle name="Normal 5 6" xfId="190" xr:uid="{6D324F70-6D1C-45E8-9EFB-0CC11DCB85CC}"/>
    <cellStyle name="Normál 5 6" xfId="191" xr:uid="{E60F4A0B-0E6C-4D56-8170-73AF773734C9}"/>
    <cellStyle name="Normal 5 6 2" xfId="322" xr:uid="{A86965C6-C2CF-4442-9C8B-210D07CEF542}"/>
    <cellStyle name="Normal 5 6 3" xfId="334" xr:uid="{5D58AE77-2CB3-4258-BC36-480BA842BA13}"/>
    <cellStyle name="Normal 5 7" xfId="267" xr:uid="{6BD66809-FD94-4CCF-BBC5-B4FE4B0777D7}"/>
    <cellStyle name="Normal 5 8" xfId="309" xr:uid="{C6ED98C4-EC76-4C0F-A5B4-11919B5CC366}"/>
    <cellStyle name="Normal 5 9" xfId="319" xr:uid="{ED148BFB-7AED-4A26-A100-A19FA8445709}"/>
    <cellStyle name="Normal 50" xfId="294" xr:uid="{1ED5FE7C-8974-4901-A7E0-59EC2E4CCD6B}"/>
    <cellStyle name="Normal 51" xfId="331" xr:uid="{5DD12E18-080F-4556-A9B2-C7061C769EFA}"/>
    <cellStyle name="Normal 52" xfId="324" xr:uid="{8DD59D58-3226-49C8-B022-5ADF7D974DB1}"/>
    <cellStyle name="Normal 53" xfId="293" xr:uid="{892A458B-EACD-4283-9D7C-3C9332A2ECEC}"/>
    <cellStyle name="Normal 54" xfId="291" xr:uid="{74F92142-4006-4EA5-8C3A-5E9305A19A05}"/>
    <cellStyle name="Normal 55" xfId="290" xr:uid="{E2E9D7E4-67D9-4FA9-AD02-83A0950A825E}"/>
    <cellStyle name="Normal 56" xfId="287" xr:uid="{EFFDCBF5-32C8-4791-ADE7-EACA952AAB46}"/>
    <cellStyle name="Normal 57" xfId="261" xr:uid="{154905A3-1E2A-40F9-B70E-8CDE7BCA2730}"/>
    <cellStyle name="Normal 6" xfId="42" xr:uid="{CC04C3B0-4C0F-4123-B072-8B2362960095}"/>
    <cellStyle name="Normál 6" xfId="43" xr:uid="{DF105FC0-B029-44FB-9DF0-A5F8CEB8DBD7}"/>
    <cellStyle name="Normal 6 2" xfId="202" xr:uid="{D3E8492B-FFB4-465B-9694-6AC4645D4D9B}"/>
    <cellStyle name="Normál 6 2" xfId="203" xr:uid="{1D78AC30-24F6-42C3-88BC-D4B6A37E5D04}"/>
    <cellStyle name="Normal 6 3" xfId="204" xr:uid="{ED4C957C-8F5A-4400-82B4-E5DBE4588E39}"/>
    <cellStyle name="Normál 6 3" xfId="205" xr:uid="{8B06DE71-179D-4105-92B7-C6649E4C9BBC}"/>
    <cellStyle name="Normal 6 4" xfId="206" xr:uid="{0CA1E05D-7C41-4B2E-B440-D2B7E15A2982}"/>
    <cellStyle name="Normál 6 4" xfId="207" xr:uid="{2488CF34-4577-4A22-8174-F9DDD720DDD2}"/>
    <cellStyle name="Normal 6 5" xfId="208" xr:uid="{48A5FD64-EC6E-44E8-94E6-BEC8EF9AFA9F}"/>
    <cellStyle name="Normál 6 5" xfId="209" xr:uid="{5312EA4E-E8E8-413E-B6F8-043852FA410E}"/>
    <cellStyle name="Normal 6 6" xfId="200" xr:uid="{87758748-6196-4066-8B68-B73EF31DD2DA}"/>
    <cellStyle name="Normál 6 6" xfId="201" xr:uid="{E3777857-7C74-472C-B29E-59388EA51E2B}"/>
    <cellStyle name="Normal 7" xfId="44" xr:uid="{5552AB92-350A-438B-A83A-0311FFBE2752}"/>
    <cellStyle name="Normál 7" xfId="45" xr:uid="{F761B828-CA14-4EAC-BCBA-A2D7A6B724ED}"/>
    <cellStyle name="Normal 7 2" xfId="212" xr:uid="{8D61420B-8CAC-43AA-B955-88CB960151D4}"/>
    <cellStyle name="Normál 7 2" xfId="213" xr:uid="{6A8AA620-AED8-4D9C-8563-F8D2202728D9}"/>
    <cellStyle name="Normal 7 3" xfId="214" xr:uid="{B47060C9-7E0D-40FF-9EB4-9EFBE3EC531A}"/>
    <cellStyle name="Normál 7 3" xfId="215" xr:uid="{F6F4AC53-8A7F-4304-A20E-5C935E74A88D}"/>
    <cellStyle name="Normal 7 4" xfId="216" xr:uid="{0800FBDA-71F0-45D9-983C-AC12F79E5C1F}"/>
    <cellStyle name="Normál 7 4" xfId="217" xr:uid="{AECC4D10-F841-4C75-95F9-6246D8919796}"/>
    <cellStyle name="Normal 7 5" xfId="218" xr:uid="{2191DC5C-320C-4FCC-BFD9-BA965A60E1CC}"/>
    <cellStyle name="Normál 7 5" xfId="219" xr:uid="{E8AEF88C-6740-4CE1-AD37-C7748937288A}"/>
    <cellStyle name="Normal 7 6" xfId="210" xr:uid="{3AE2C84F-5583-49F6-9768-8DEDA1850FC1}"/>
    <cellStyle name="Normál 7 6" xfId="211" xr:uid="{256892BA-59FF-4FC5-A0D6-906B9A9DE8EC}"/>
    <cellStyle name="Normal 8" xfId="46" xr:uid="{28620890-A531-49B9-9287-1D68646BAFC7}"/>
    <cellStyle name="Normál 8" xfId="47" xr:uid="{4AF5DD9E-9649-4A18-9230-FFC0E70A939E}"/>
    <cellStyle name="Normal 8 2" xfId="222" xr:uid="{466D7AB3-0A0D-4F1E-B9E8-1D4E3B378763}"/>
    <cellStyle name="Normál 8 2" xfId="223" xr:uid="{868B5A8B-3C2D-4EA0-BD3F-2333C5DE4A26}"/>
    <cellStyle name="Normal 8 3" xfId="224" xr:uid="{7AC7B98A-2781-4683-9275-74664B5DA118}"/>
    <cellStyle name="Normál 8 3" xfId="225" xr:uid="{ACC43D42-E4AB-4519-A5FB-6E7C9B5A4F09}"/>
    <cellStyle name="Normal 8 4" xfId="226" xr:uid="{C03F7486-36B2-47F9-B7E2-648DF02397D3}"/>
    <cellStyle name="Normál 8 4" xfId="227" xr:uid="{7DD906EA-5667-46E0-BB68-C8F38E557CF5}"/>
    <cellStyle name="Normal 8 5" xfId="228" xr:uid="{95C00D6C-CDFA-4230-AD11-07F870A73751}"/>
    <cellStyle name="Normál 8 5" xfId="229" xr:uid="{05D86887-D2F7-48B3-894D-B90D2B754871}"/>
    <cellStyle name="Normal 8 6" xfId="220" xr:uid="{C627FBFD-9F55-40C7-B005-3C07607DA195}"/>
    <cellStyle name="Normál 8 6" xfId="221" xr:uid="{5AF25AB5-81CF-41FF-A347-E45F2C9CCCFB}"/>
    <cellStyle name="Normal 9" xfId="48" xr:uid="{2F307D6C-223D-4B0E-91F4-F53A4F00EC53}"/>
    <cellStyle name="Normál 9" xfId="49" xr:uid="{5468DD95-2E41-4987-AA28-6C33F58A7399}"/>
    <cellStyle name="Normal 9 2" xfId="232" xr:uid="{EA150E56-215C-4C6B-9CCC-59B930F64F6F}"/>
    <cellStyle name="Normál 9 2" xfId="233" xr:uid="{FB6EE5B2-62BF-4693-B21A-3ABC0540CFA2}"/>
    <cellStyle name="Normal 9 3" xfId="234" xr:uid="{04E6CCCE-ADA5-442C-8FAF-B31124D70BA2}"/>
    <cellStyle name="Normál 9 3" xfId="235" xr:uid="{1FFDFAFC-37C8-4D57-9A23-A37E6B69F1FB}"/>
    <cellStyle name="Normal 9 4" xfId="236" xr:uid="{585120B3-AE47-4C97-BC1F-E37F84DE623B}"/>
    <cellStyle name="Normál 9 4" xfId="237" xr:uid="{3F15D5F6-CB97-4E41-B2EF-5C56A7BC2415}"/>
    <cellStyle name="Normal 9 5" xfId="238" xr:uid="{6581AF9F-DDE3-4D12-8311-D99BF82A9877}"/>
    <cellStyle name="Normál 9 5" xfId="239" xr:uid="{3137C803-DF6A-4716-A7E1-7B220A732CDA}"/>
    <cellStyle name="Normal 9 6" xfId="230" xr:uid="{516DDF72-90EC-4EC0-8436-2E60FBE196DF}"/>
    <cellStyle name="Normál 9 6" xfId="231" xr:uid="{96909533-85A9-41EE-AED2-5FF4716CDB4C}"/>
    <cellStyle name="Normal_proiect teren forestier" xfId="1" xr:uid="{D3C5F72F-303A-4CDE-A023-D2CEEFA2468A}"/>
    <cellStyle name="Note 2" xfId="241" xr:uid="{A7F50767-239D-4E9D-9FD4-3887142CC735}"/>
    <cellStyle name="Note 3" xfId="240" xr:uid="{3CC7AA77-F4B7-4A92-AC8F-747FFC324F03}"/>
    <cellStyle name="Output 2" xfId="243" xr:uid="{3BED0338-FF08-48F8-837C-52186E5BC7FB}"/>
    <cellStyle name="Output 3" xfId="242" xr:uid="{574A596D-FCB4-4EF0-9D97-B9EFE82EFDB7}"/>
    <cellStyle name="Title 2" xfId="245" xr:uid="{1C8B5AAC-E1B3-4A2F-9C0D-3A323E691232}"/>
    <cellStyle name="Title 3" xfId="244" xr:uid="{09908D69-98CC-498E-B4A6-C59B0618C01A}"/>
    <cellStyle name="Total 2" xfId="247" xr:uid="{BF91D126-3B08-41B1-A3AD-E9964FB1F5BA}"/>
    <cellStyle name="Total 3" xfId="246" xr:uid="{8011FDA0-AF57-438F-8C6A-418DB049D196}"/>
    <cellStyle name="Virgulă 2" xfId="50" xr:uid="{B40EAA55-6EB6-4DF8-9D4B-BABDF863B1A1}"/>
    <cellStyle name="Virgulă 2 2" xfId="249" xr:uid="{96DD4396-D1E4-485B-A9FB-0FDCC2D91CCF}"/>
    <cellStyle name="Virgulă 2 3" xfId="248" xr:uid="{D8FB1C2F-0D06-462C-9D30-6AB2DD93EE70}"/>
    <cellStyle name="Virgulă 3" xfId="51" xr:uid="{AC465EB5-B461-4EFC-AB1F-5CC768E4EEB6}"/>
    <cellStyle name="Virgulă 3 2" xfId="251" xr:uid="{A254D1FC-1952-40E0-A2D7-F3FD89BDA158}"/>
    <cellStyle name="Virgulă 3 3" xfId="250" xr:uid="{B3F73519-4250-41DB-B6FF-876B8C920126}"/>
    <cellStyle name="Warning Text 2" xfId="253" xr:uid="{188DE70C-C900-49C6-B848-FEB5022F6AD2}"/>
    <cellStyle name="Warning Text 3" xfId="252" xr:uid="{5EB452DB-8BE9-46C7-A967-413ADE256AC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CBE5-CC8F-4C48-A20C-877F54F02290}">
  <sheetPr>
    <pageSetUpPr fitToPage="1"/>
  </sheetPr>
  <dimension ref="A1:AG22"/>
  <sheetViews>
    <sheetView tabSelected="1" topLeftCell="C1" zoomScaleNormal="100" workbookViewId="0">
      <pane ySplit="6" topLeftCell="A7" activePane="bottomLeft" state="frozen"/>
      <selection activeCell="H1" sqref="H1"/>
      <selection pane="bottomLeft" activeCell="M8" sqref="M8"/>
    </sheetView>
  </sheetViews>
  <sheetFormatPr defaultRowHeight="15" x14ac:dyDescent="0.25"/>
  <cols>
    <col min="1" max="1" width="3.28515625" style="1" customWidth="1"/>
    <col min="2" max="2" width="11" style="1" customWidth="1"/>
    <col min="3" max="3" width="9.140625" style="1"/>
    <col min="4" max="4" width="6.7109375" style="1" customWidth="1"/>
    <col min="5" max="5" width="10" style="31" customWidth="1"/>
    <col min="6" max="6" width="52.140625" style="1" customWidth="1"/>
    <col min="7" max="7" width="19.7109375" style="1" customWidth="1"/>
    <col min="8" max="8" width="50" style="1" customWidth="1"/>
    <col min="9" max="9" width="12.42578125" style="1" customWidth="1"/>
    <col min="10" max="10" width="10.28515625" style="1" customWidth="1"/>
    <col min="11" max="11" width="15.140625" style="1" customWidth="1"/>
    <col min="12" max="12" width="20.140625" style="1" customWidth="1"/>
    <col min="13" max="13" width="33.7109375" style="1" customWidth="1"/>
    <col min="14" max="14" width="25.28515625" style="1" customWidth="1"/>
    <col min="15" max="15" width="2.28515625" style="1" customWidth="1"/>
    <col min="16" max="16" width="13.7109375" style="52" hidden="1" customWidth="1"/>
    <col min="17" max="17" width="10.85546875" style="52" hidden="1" customWidth="1"/>
    <col min="18" max="18" width="9.7109375" style="52" hidden="1" customWidth="1"/>
    <col min="19" max="19" width="6.5703125" style="52" hidden="1" customWidth="1"/>
    <col min="20" max="22" width="9.7109375" style="52" hidden="1" customWidth="1"/>
    <col min="23" max="24" width="10.85546875" style="52" hidden="1" customWidth="1"/>
    <col min="25" max="25" width="13.7109375" style="52" hidden="1" customWidth="1"/>
    <col min="26" max="26" width="5.5703125" style="35" hidden="1" customWidth="1"/>
    <col min="27" max="27" width="2.5703125" style="45" hidden="1" customWidth="1"/>
    <col min="28" max="29" width="10.42578125" style="55" hidden="1" customWidth="1"/>
    <col min="30" max="30" width="8" style="57" hidden="1" customWidth="1"/>
    <col min="31" max="32" width="10.42578125" style="55" hidden="1" customWidth="1"/>
    <col min="33" max="33" width="8" style="57" hidden="1" customWidth="1"/>
    <col min="34" max="16384" width="9.140625" style="1"/>
  </cols>
  <sheetData>
    <row r="1" spans="1:33" s="32" customFormat="1" ht="15.75" x14ac:dyDescent="0.25">
      <c r="A1" s="36"/>
      <c r="B1" s="36"/>
      <c r="C1" s="36"/>
      <c r="D1" s="36"/>
      <c r="E1" s="98"/>
      <c r="F1" s="36"/>
      <c r="G1" s="36"/>
      <c r="H1" s="36"/>
      <c r="I1" s="36"/>
      <c r="J1" s="36"/>
      <c r="K1" s="36"/>
      <c r="L1" s="36"/>
      <c r="N1" s="37" t="s">
        <v>117</v>
      </c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44"/>
      <c r="AB1" s="54"/>
      <c r="AC1" s="54"/>
      <c r="AD1" s="56"/>
      <c r="AE1" s="54"/>
      <c r="AF1" s="54"/>
      <c r="AG1" s="56"/>
    </row>
    <row r="2" spans="1:33" s="32" customFormat="1" ht="15.75" x14ac:dyDescent="0.25">
      <c r="A2" s="108" t="s">
        <v>14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  <c r="AA2" s="44"/>
      <c r="AB2" s="54"/>
      <c r="AC2" s="54"/>
      <c r="AD2" s="56"/>
      <c r="AE2" s="54"/>
      <c r="AF2" s="54"/>
      <c r="AG2" s="56"/>
    </row>
    <row r="3" spans="1:33" s="32" customFormat="1" ht="15.75" x14ac:dyDescent="0.25">
      <c r="A3" s="108" t="s">
        <v>101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38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  <c r="AA3" s="44"/>
      <c r="AB3" s="54"/>
      <c r="AC3" s="54"/>
      <c r="AD3" s="56"/>
      <c r="AE3" s="54"/>
      <c r="AF3" s="54"/>
      <c r="AG3" s="56"/>
    </row>
    <row r="4" spans="1:33" ht="16.5" customHeight="1" thickBot="1" x14ac:dyDescent="0.3">
      <c r="A4" s="39"/>
      <c r="B4" s="39"/>
      <c r="C4" s="40"/>
      <c r="D4" s="40"/>
      <c r="E4" s="99"/>
      <c r="F4" s="40"/>
      <c r="G4" s="41"/>
      <c r="H4" s="42"/>
      <c r="I4" s="40"/>
      <c r="J4" s="43"/>
      <c r="K4" s="43"/>
      <c r="L4" s="43"/>
      <c r="M4" s="40"/>
      <c r="N4" s="39"/>
      <c r="O4" s="33"/>
    </row>
    <row r="5" spans="1:33" ht="15.75" thickBot="1" x14ac:dyDescent="0.3">
      <c r="A5" s="109" t="s">
        <v>8</v>
      </c>
      <c r="B5" s="111" t="s">
        <v>16</v>
      </c>
      <c r="C5" s="113" t="s">
        <v>7</v>
      </c>
      <c r="D5" s="115" t="s">
        <v>0</v>
      </c>
      <c r="E5" s="117" t="s">
        <v>17</v>
      </c>
      <c r="F5" s="119" t="s">
        <v>18</v>
      </c>
      <c r="G5" s="121" t="s">
        <v>9</v>
      </c>
      <c r="H5" s="123" t="s">
        <v>19</v>
      </c>
      <c r="I5" s="125" t="s">
        <v>5</v>
      </c>
      <c r="J5" s="127" t="s">
        <v>20</v>
      </c>
      <c r="K5" s="129" t="s">
        <v>21</v>
      </c>
      <c r="L5" s="117" t="s">
        <v>10</v>
      </c>
      <c r="M5" s="131" t="s">
        <v>3</v>
      </c>
      <c r="N5" s="132"/>
    </row>
    <row r="6" spans="1:33" ht="54" customHeight="1" thickBot="1" x14ac:dyDescent="0.3">
      <c r="A6" s="110"/>
      <c r="B6" s="112"/>
      <c r="C6" s="114"/>
      <c r="D6" s="116"/>
      <c r="E6" s="118"/>
      <c r="F6" s="120"/>
      <c r="G6" s="122"/>
      <c r="H6" s="124"/>
      <c r="I6" s="126"/>
      <c r="J6" s="128"/>
      <c r="K6" s="130"/>
      <c r="L6" s="118"/>
      <c r="M6" s="2" t="s">
        <v>22</v>
      </c>
      <c r="N6" s="3" t="s">
        <v>11</v>
      </c>
      <c r="P6" s="60" t="s">
        <v>36</v>
      </c>
      <c r="Q6" s="61" t="s">
        <v>97</v>
      </c>
      <c r="R6" s="61" t="s">
        <v>37</v>
      </c>
      <c r="S6" s="61" t="s">
        <v>45</v>
      </c>
      <c r="T6" s="61" t="s">
        <v>40</v>
      </c>
      <c r="U6" s="61" t="s">
        <v>41</v>
      </c>
      <c r="V6" s="61" t="s">
        <v>42</v>
      </c>
      <c r="W6" s="61" t="s">
        <v>43</v>
      </c>
      <c r="X6" s="61" t="s">
        <v>44</v>
      </c>
      <c r="Y6" s="62" t="s">
        <v>38</v>
      </c>
      <c r="Z6" s="63" t="s">
        <v>39</v>
      </c>
      <c r="AB6" s="76" t="s">
        <v>98</v>
      </c>
      <c r="AC6" s="77" t="s">
        <v>99</v>
      </c>
      <c r="AD6" s="78" t="s">
        <v>39</v>
      </c>
      <c r="AE6" s="77" t="s">
        <v>98</v>
      </c>
      <c r="AF6" s="77" t="s">
        <v>100</v>
      </c>
      <c r="AG6" s="79" t="s">
        <v>39</v>
      </c>
    </row>
    <row r="7" spans="1:33" s="15" customFormat="1" ht="12" customHeight="1" thickBot="1" x14ac:dyDescent="0.3">
      <c r="A7" s="4">
        <v>0</v>
      </c>
      <c r="B7" s="5">
        <v>1</v>
      </c>
      <c r="C7" s="6">
        <v>2</v>
      </c>
      <c r="D7" s="6">
        <v>3</v>
      </c>
      <c r="E7" s="7">
        <v>4</v>
      </c>
      <c r="F7" s="8">
        <v>5</v>
      </c>
      <c r="G7" s="9">
        <v>6</v>
      </c>
      <c r="H7" s="9">
        <v>7</v>
      </c>
      <c r="I7" s="10">
        <v>8</v>
      </c>
      <c r="J7" s="11">
        <v>9</v>
      </c>
      <c r="K7" s="12">
        <v>10</v>
      </c>
      <c r="L7" s="13">
        <v>11</v>
      </c>
      <c r="M7" s="14">
        <v>12</v>
      </c>
      <c r="N7" s="10">
        <v>13</v>
      </c>
      <c r="P7" s="64"/>
      <c r="Q7" s="58"/>
      <c r="R7" s="58"/>
      <c r="S7" s="58"/>
      <c r="T7" s="58"/>
      <c r="U7" s="58"/>
      <c r="V7" s="58"/>
      <c r="W7" s="58"/>
      <c r="X7" s="58"/>
      <c r="Y7" s="58"/>
      <c r="Z7" s="65"/>
      <c r="AB7" s="80"/>
      <c r="AC7" s="71"/>
      <c r="AD7" s="72"/>
      <c r="AE7" s="71"/>
      <c r="AF7" s="71"/>
      <c r="AG7" s="81"/>
    </row>
    <row r="8" spans="1:33" ht="36.75" customHeight="1" x14ac:dyDescent="0.25">
      <c r="A8" s="16">
        <v>1</v>
      </c>
      <c r="B8" s="17" t="s">
        <v>6</v>
      </c>
      <c r="C8" s="18" t="s">
        <v>1</v>
      </c>
      <c r="D8" s="19" t="s">
        <v>23</v>
      </c>
      <c r="E8" s="20" t="s">
        <v>12</v>
      </c>
      <c r="F8" s="24" t="s">
        <v>108</v>
      </c>
      <c r="G8" s="26" t="s">
        <v>28</v>
      </c>
      <c r="H8" s="25" t="s">
        <v>30</v>
      </c>
      <c r="I8" s="21">
        <v>2024</v>
      </c>
      <c r="J8" s="28">
        <v>16478</v>
      </c>
      <c r="K8" s="22">
        <v>45991</v>
      </c>
      <c r="L8" s="100" t="s">
        <v>87</v>
      </c>
      <c r="M8" s="27" t="s">
        <v>31</v>
      </c>
      <c r="N8" s="21" t="s">
        <v>4</v>
      </c>
      <c r="O8" s="33"/>
      <c r="P8" s="66">
        <v>15000</v>
      </c>
      <c r="Q8" s="59">
        <f>290+950+48+190</f>
        <v>1478</v>
      </c>
      <c r="R8" s="59"/>
      <c r="S8" s="59"/>
      <c r="T8" s="59"/>
      <c r="U8" s="59"/>
      <c r="V8" s="59"/>
      <c r="W8" s="59"/>
      <c r="X8" s="59"/>
      <c r="Y8" s="59">
        <f>SUM(P8:X8)</f>
        <v>16478</v>
      </c>
      <c r="Z8" s="67">
        <f t="shared" ref="Z8:Z21" si="0">Y8-J8</f>
        <v>0</v>
      </c>
      <c r="AB8" s="82">
        <v>1.5134000000000001</v>
      </c>
      <c r="AC8" s="73">
        <f>15134/10000</f>
        <v>1.5134000000000001</v>
      </c>
      <c r="AD8" s="74">
        <f>AB8-AC8</f>
        <v>0</v>
      </c>
      <c r="AE8" s="73">
        <f>AB8</f>
        <v>1.5134000000000001</v>
      </c>
      <c r="AF8" s="73">
        <f>15134/10000</f>
        <v>1.5134000000000001</v>
      </c>
      <c r="AG8" s="83">
        <f>AE8-AF8</f>
        <v>0</v>
      </c>
    </row>
    <row r="9" spans="1:33" ht="35.25" customHeight="1" x14ac:dyDescent="0.25">
      <c r="A9" s="16">
        <v>2</v>
      </c>
      <c r="B9" s="17" t="s">
        <v>6</v>
      </c>
      <c r="C9" s="18" t="s">
        <v>1</v>
      </c>
      <c r="D9" s="19" t="s">
        <v>23</v>
      </c>
      <c r="E9" s="20" t="s">
        <v>12</v>
      </c>
      <c r="F9" s="24" t="s">
        <v>107</v>
      </c>
      <c r="G9" s="26" t="s">
        <v>25</v>
      </c>
      <c r="H9" s="25" t="s">
        <v>29</v>
      </c>
      <c r="I9" s="21">
        <v>2024</v>
      </c>
      <c r="J9" s="28">
        <v>152107</v>
      </c>
      <c r="K9" s="22">
        <v>46112</v>
      </c>
      <c r="L9" s="101"/>
      <c r="M9" s="27" t="s">
        <v>26</v>
      </c>
      <c r="N9" s="21" t="s">
        <v>4</v>
      </c>
      <c r="O9" s="33"/>
      <c r="P9" s="66">
        <f>7500*4.977+0.5+22155.2*5</f>
        <v>148104</v>
      </c>
      <c r="Q9" s="59">
        <f>2737+60</f>
        <v>2797</v>
      </c>
      <c r="R9" s="59">
        <v>1206</v>
      </c>
      <c r="S9" s="59"/>
      <c r="T9" s="59"/>
      <c r="U9" s="59"/>
      <c r="V9" s="59"/>
      <c r="W9" s="59"/>
      <c r="X9" s="59"/>
      <c r="Y9" s="59">
        <f t="shared" ref="Y9:Y21" si="1">SUM(P9:X9)</f>
        <v>152107</v>
      </c>
      <c r="Z9" s="67">
        <f t="shared" si="0"/>
        <v>0</v>
      </c>
      <c r="AB9" s="82">
        <v>10</v>
      </c>
      <c r="AC9" s="73">
        <f>100000/10000</f>
        <v>10</v>
      </c>
      <c r="AD9" s="74">
        <f t="shared" ref="AD9:AD21" si="2">AB9-AC9</f>
        <v>0</v>
      </c>
      <c r="AE9" s="73">
        <f t="shared" ref="AE9:AE21" si="3">AB9</f>
        <v>10</v>
      </c>
      <c r="AF9" s="73">
        <f>100000/10000</f>
        <v>10</v>
      </c>
      <c r="AG9" s="83">
        <f t="shared" ref="AG9:AG21" si="4">AE9-AF9</f>
        <v>0</v>
      </c>
    </row>
    <row r="10" spans="1:33" s="33" customFormat="1" ht="39.75" customHeight="1" x14ac:dyDescent="0.25">
      <c r="A10" s="16">
        <v>3</v>
      </c>
      <c r="B10" s="17" t="s">
        <v>6</v>
      </c>
      <c r="C10" s="18" t="s">
        <v>1</v>
      </c>
      <c r="D10" s="19" t="s">
        <v>23</v>
      </c>
      <c r="E10" s="20" t="s">
        <v>86</v>
      </c>
      <c r="F10" s="24" t="s">
        <v>106</v>
      </c>
      <c r="G10" s="26" t="s">
        <v>92</v>
      </c>
      <c r="H10" s="25" t="s">
        <v>93</v>
      </c>
      <c r="I10" s="21">
        <v>2014</v>
      </c>
      <c r="J10" s="28">
        <v>84430</v>
      </c>
      <c r="K10" s="22">
        <v>45961</v>
      </c>
      <c r="L10" s="101"/>
      <c r="M10" s="27" t="s">
        <v>88</v>
      </c>
      <c r="N10" s="21" t="s">
        <v>4</v>
      </c>
      <c r="P10" s="66">
        <v>50171.62</v>
      </c>
      <c r="Q10" s="59">
        <f>2039.8+60-394.8+0.38</f>
        <v>1705.3800000000003</v>
      </c>
      <c r="R10" s="59"/>
      <c r="S10" s="59"/>
      <c r="T10" s="59"/>
      <c r="U10" s="59">
        <v>747</v>
      </c>
      <c r="V10" s="59">
        <v>3215</v>
      </c>
      <c r="W10" s="59">
        <v>8303</v>
      </c>
      <c r="X10" s="59">
        <v>20288</v>
      </c>
      <c r="Y10" s="59">
        <f t="shared" si="1"/>
        <v>84430</v>
      </c>
      <c r="Z10" s="67">
        <f t="shared" si="0"/>
        <v>0</v>
      </c>
      <c r="AA10" s="46"/>
      <c r="AB10" s="84">
        <v>4.5</v>
      </c>
      <c r="AC10" s="75">
        <f>90000/10000*2/4</f>
        <v>4.5</v>
      </c>
      <c r="AD10" s="74">
        <f t="shared" si="2"/>
        <v>0</v>
      </c>
      <c r="AE10" s="73">
        <f t="shared" si="3"/>
        <v>4.5</v>
      </c>
      <c r="AF10" s="75">
        <v>4.5</v>
      </c>
      <c r="AG10" s="83">
        <f t="shared" si="4"/>
        <v>0</v>
      </c>
    </row>
    <row r="11" spans="1:33" ht="58.5" customHeight="1" x14ac:dyDescent="0.25">
      <c r="A11" s="16">
        <v>4</v>
      </c>
      <c r="B11" s="17" t="s">
        <v>6</v>
      </c>
      <c r="C11" s="18" t="s">
        <v>1</v>
      </c>
      <c r="D11" s="19" t="s">
        <v>23</v>
      </c>
      <c r="E11" s="20" t="s">
        <v>86</v>
      </c>
      <c r="F11" s="29" t="s">
        <v>105</v>
      </c>
      <c r="G11" s="26" t="s">
        <v>92</v>
      </c>
      <c r="H11" s="25" t="s">
        <v>94</v>
      </c>
      <c r="I11" s="21">
        <v>2014</v>
      </c>
      <c r="J11" s="28">
        <v>143725</v>
      </c>
      <c r="K11" s="22">
        <v>45961</v>
      </c>
      <c r="L11" s="101"/>
      <c r="M11" s="27" t="s">
        <v>89</v>
      </c>
      <c r="N11" s="21" t="s">
        <v>4</v>
      </c>
      <c r="O11" s="33"/>
      <c r="P11" s="66">
        <f>3177.54+16311.35+65518.83</f>
        <v>85007.72</v>
      </c>
      <c r="Q11" s="59">
        <f>2492.4+372+1005.64+180-749.04+0.28</f>
        <v>3301.28</v>
      </c>
      <c r="R11" s="59"/>
      <c r="S11" s="59"/>
      <c r="T11" s="59"/>
      <c r="U11" s="59">
        <v>1272</v>
      </c>
      <c r="V11" s="59">
        <v>5473</v>
      </c>
      <c r="W11" s="59">
        <v>14135</v>
      </c>
      <c r="X11" s="59">
        <v>34536</v>
      </c>
      <c r="Y11" s="59">
        <f>SUM(P11:X11)</f>
        <v>143725</v>
      </c>
      <c r="Z11" s="67">
        <f t="shared" si="0"/>
        <v>0</v>
      </c>
      <c r="AB11" s="82">
        <v>7.6</v>
      </c>
      <c r="AC11" s="73">
        <f>73150/10000+2850/10000</f>
        <v>7.6000000000000005</v>
      </c>
      <c r="AD11" s="74">
        <f>AB11-AC11</f>
        <v>0</v>
      </c>
      <c r="AE11" s="73">
        <f>AB11</f>
        <v>7.6</v>
      </c>
      <c r="AF11" s="73">
        <f>2850/10000+73150/10000</f>
        <v>7.6000000000000005</v>
      </c>
      <c r="AG11" s="83">
        <f t="shared" si="4"/>
        <v>0</v>
      </c>
    </row>
    <row r="12" spans="1:33" ht="33.75" x14ac:dyDescent="0.25">
      <c r="A12" s="16">
        <v>5</v>
      </c>
      <c r="B12" s="17" t="s">
        <v>6</v>
      </c>
      <c r="C12" s="18" t="s">
        <v>1</v>
      </c>
      <c r="D12" s="19" t="s">
        <v>23</v>
      </c>
      <c r="E12" s="20" t="s">
        <v>32</v>
      </c>
      <c r="F12" s="24" t="s">
        <v>104</v>
      </c>
      <c r="G12" s="26" t="s">
        <v>34</v>
      </c>
      <c r="H12" s="25" t="s">
        <v>102</v>
      </c>
      <c r="I12" s="21">
        <v>2024</v>
      </c>
      <c r="J12" s="28">
        <v>52111</v>
      </c>
      <c r="K12" s="22">
        <v>45991</v>
      </c>
      <c r="L12" s="101"/>
      <c r="M12" s="27" t="s">
        <v>35</v>
      </c>
      <c r="N12" s="21" t="s">
        <v>4</v>
      </c>
      <c r="O12" s="33"/>
      <c r="P12" s="66">
        <v>49729</v>
      </c>
      <c r="Q12" s="59">
        <f>2000+382</f>
        <v>2382</v>
      </c>
      <c r="R12" s="59"/>
      <c r="S12" s="59"/>
      <c r="T12" s="59"/>
      <c r="U12" s="59"/>
      <c r="V12" s="59"/>
      <c r="W12" s="59"/>
      <c r="X12" s="59"/>
      <c r="Y12" s="59">
        <f t="shared" si="1"/>
        <v>52111</v>
      </c>
      <c r="Z12" s="67">
        <f t="shared" si="0"/>
        <v>0</v>
      </c>
      <c r="AB12" s="82">
        <v>4</v>
      </c>
      <c r="AC12" s="73">
        <f>40000/10000</f>
        <v>4</v>
      </c>
      <c r="AD12" s="74">
        <f t="shared" si="2"/>
        <v>0</v>
      </c>
      <c r="AE12" s="73">
        <f t="shared" si="3"/>
        <v>4</v>
      </c>
      <c r="AF12" s="73">
        <f>40000/10000</f>
        <v>4</v>
      </c>
      <c r="AG12" s="83">
        <f t="shared" si="4"/>
        <v>0</v>
      </c>
    </row>
    <row r="13" spans="1:33" ht="59.25" customHeight="1" x14ac:dyDescent="0.25">
      <c r="A13" s="16">
        <v>6</v>
      </c>
      <c r="B13" s="17" t="s">
        <v>6</v>
      </c>
      <c r="C13" s="18" t="s">
        <v>1</v>
      </c>
      <c r="D13" s="19" t="s">
        <v>23</v>
      </c>
      <c r="E13" s="20" t="s">
        <v>12</v>
      </c>
      <c r="F13" s="24" t="s">
        <v>109</v>
      </c>
      <c r="G13" s="26" t="s">
        <v>47</v>
      </c>
      <c r="H13" s="25" t="s">
        <v>64</v>
      </c>
      <c r="I13" s="21">
        <v>2008</v>
      </c>
      <c r="J13" s="28">
        <v>72628</v>
      </c>
      <c r="K13" s="22">
        <v>45991</v>
      </c>
      <c r="L13" s="101"/>
      <c r="M13" s="27" t="s">
        <v>78</v>
      </c>
      <c r="N13" s="21" t="s">
        <v>4</v>
      </c>
      <c r="O13" s="33"/>
      <c r="P13" s="66">
        <v>37000</v>
      </c>
      <c r="Q13" s="59">
        <f>761+100+325</f>
        <v>1186</v>
      </c>
      <c r="R13" s="59"/>
      <c r="S13" s="59"/>
      <c r="T13" s="59">
        <v>6438</v>
      </c>
      <c r="U13" s="59">
        <v>643</v>
      </c>
      <c r="V13" s="59">
        <v>2766</v>
      </c>
      <c r="W13" s="59">
        <v>7143</v>
      </c>
      <c r="X13" s="59">
        <v>17452</v>
      </c>
      <c r="Y13" s="59">
        <f>SUM(P13:X13)</f>
        <v>72628</v>
      </c>
      <c r="Z13" s="67">
        <f t="shared" si="0"/>
        <v>0</v>
      </c>
      <c r="AB13" s="82">
        <v>5</v>
      </c>
      <c r="AC13" s="73">
        <f>50000/10000</f>
        <v>5</v>
      </c>
      <c r="AD13" s="74">
        <f t="shared" si="2"/>
        <v>0</v>
      </c>
      <c r="AE13" s="73">
        <f t="shared" si="3"/>
        <v>5</v>
      </c>
      <c r="AF13" s="73">
        <f>50000/10000</f>
        <v>5</v>
      </c>
      <c r="AG13" s="83">
        <f t="shared" si="4"/>
        <v>0</v>
      </c>
    </row>
    <row r="14" spans="1:33" ht="57" customHeight="1" x14ac:dyDescent="0.25">
      <c r="A14" s="16">
        <v>7</v>
      </c>
      <c r="B14" s="17" t="s">
        <v>6</v>
      </c>
      <c r="C14" s="18" t="s">
        <v>1</v>
      </c>
      <c r="D14" s="19" t="s">
        <v>23</v>
      </c>
      <c r="E14" s="20" t="s">
        <v>32</v>
      </c>
      <c r="F14" s="24" t="s">
        <v>116</v>
      </c>
      <c r="G14" s="26" t="s">
        <v>69</v>
      </c>
      <c r="H14" s="25" t="s">
        <v>80</v>
      </c>
      <c r="I14" s="21">
        <v>2003</v>
      </c>
      <c r="J14" s="28">
        <v>18860</v>
      </c>
      <c r="K14" s="22">
        <v>46173</v>
      </c>
      <c r="L14" s="101"/>
      <c r="M14" s="27" t="s">
        <v>72</v>
      </c>
      <c r="N14" s="21" t="s">
        <v>4</v>
      </c>
      <c r="O14" s="33"/>
      <c r="P14" s="66">
        <f>117545812/10000</f>
        <v>11754.581200000001</v>
      </c>
      <c r="Q14" s="59">
        <v>0.41879999999946399</v>
      </c>
      <c r="R14" s="59"/>
      <c r="S14" s="59"/>
      <c r="T14" s="59"/>
      <c r="U14" s="59"/>
      <c r="V14" s="59">
        <v>718</v>
      </c>
      <c r="W14" s="59">
        <v>1855</v>
      </c>
      <c r="X14" s="59">
        <v>4532</v>
      </c>
      <c r="Y14" s="59">
        <f>SUM(P14:X14)</f>
        <v>18860</v>
      </c>
      <c r="Z14" s="67">
        <f t="shared" si="0"/>
        <v>0</v>
      </c>
      <c r="AB14" s="82">
        <v>6.0625</v>
      </c>
      <c r="AC14" s="73">
        <f>60625/10000</f>
        <v>6.0625</v>
      </c>
      <c r="AD14" s="74">
        <f t="shared" si="2"/>
        <v>0</v>
      </c>
      <c r="AE14" s="73">
        <f t="shared" si="3"/>
        <v>6.0625</v>
      </c>
      <c r="AF14" s="73">
        <f>60625/10000</f>
        <v>6.0625</v>
      </c>
      <c r="AG14" s="83">
        <f t="shared" si="4"/>
        <v>0</v>
      </c>
    </row>
    <row r="15" spans="1:33" ht="58.5" customHeight="1" x14ac:dyDescent="0.25">
      <c r="A15" s="16">
        <v>8</v>
      </c>
      <c r="B15" s="17" t="s">
        <v>6</v>
      </c>
      <c r="C15" s="18" t="s">
        <v>1</v>
      </c>
      <c r="D15" s="19" t="s">
        <v>23</v>
      </c>
      <c r="E15" s="20" t="s">
        <v>32</v>
      </c>
      <c r="F15" s="29" t="s">
        <v>110</v>
      </c>
      <c r="G15" s="26" t="s">
        <v>70</v>
      </c>
      <c r="H15" s="25" t="s">
        <v>81</v>
      </c>
      <c r="I15" s="21">
        <v>2003</v>
      </c>
      <c r="J15" s="28">
        <v>32776</v>
      </c>
      <c r="K15" s="22">
        <v>46081</v>
      </c>
      <c r="L15" s="101"/>
      <c r="M15" s="27" t="s">
        <v>85</v>
      </c>
      <c r="N15" s="21" t="s">
        <v>4</v>
      </c>
      <c r="O15" s="33"/>
      <c r="P15" s="66">
        <f>204284500/10000</f>
        <v>20428.45</v>
      </c>
      <c r="Q15" s="59">
        <v>-0.44999999999709001</v>
      </c>
      <c r="R15" s="59"/>
      <c r="S15" s="59"/>
      <c r="T15" s="59"/>
      <c r="U15" s="59"/>
      <c r="V15" s="59">
        <v>1248</v>
      </c>
      <c r="W15" s="59">
        <v>3224</v>
      </c>
      <c r="X15" s="59">
        <v>7876</v>
      </c>
      <c r="Y15" s="59">
        <f t="shared" si="1"/>
        <v>32776</v>
      </c>
      <c r="Z15" s="67">
        <f t="shared" si="0"/>
        <v>0</v>
      </c>
      <c r="AB15" s="82">
        <v>5.8367000000000004</v>
      </c>
      <c r="AC15" s="73">
        <f>(17177+27061+14129)/10000</f>
        <v>5.8367000000000004</v>
      </c>
      <c r="AD15" s="74">
        <f t="shared" si="2"/>
        <v>0</v>
      </c>
      <c r="AE15" s="73">
        <f t="shared" si="3"/>
        <v>5.8367000000000004</v>
      </c>
      <c r="AF15" s="73">
        <f>(17177+27061+14129)/10000</f>
        <v>5.8367000000000004</v>
      </c>
      <c r="AG15" s="83">
        <f t="shared" si="4"/>
        <v>0</v>
      </c>
    </row>
    <row r="16" spans="1:33" ht="74.25" customHeight="1" x14ac:dyDescent="0.25">
      <c r="A16" s="16">
        <v>9</v>
      </c>
      <c r="B16" s="17" t="s">
        <v>6</v>
      </c>
      <c r="C16" s="18" t="s">
        <v>1</v>
      </c>
      <c r="D16" s="19" t="s">
        <v>23</v>
      </c>
      <c r="E16" s="20" t="s">
        <v>32</v>
      </c>
      <c r="F16" s="29" t="s">
        <v>111</v>
      </c>
      <c r="G16" s="26" t="s">
        <v>71</v>
      </c>
      <c r="H16" s="25" t="s">
        <v>79</v>
      </c>
      <c r="I16" s="21">
        <v>2003</v>
      </c>
      <c r="J16" s="28">
        <v>48133</v>
      </c>
      <c r="K16" s="22">
        <v>46081</v>
      </c>
      <c r="L16" s="101"/>
      <c r="M16" s="27" t="s">
        <v>73</v>
      </c>
      <c r="N16" s="21" t="s">
        <v>4</v>
      </c>
      <c r="O16" s="33"/>
      <c r="P16" s="66">
        <f>300000000/10000</f>
        <v>30000</v>
      </c>
      <c r="Q16" s="59"/>
      <c r="R16" s="59"/>
      <c r="S16" s="59"/>
      <c r="T16" s="59"/>
      <c r="U16" s="59"/>
      <c r="V16" s="59">
        <v>1833</v>
      </c>
      <c r="W16" s="59">
        <v>4734</v>
      </c>
      <c r="X16" s="59">
        <v>11566</v>
      </c>
      <c r="Y16" s="59">
        <f>SUM(P16:X16)</f>
        <v>48133</v>
      </c>
      <c r="Z16" s="67">
        <f t="shared" si="0"/>
        <v>0</v>
      </c>
      <c r="AA16" s="23"/>
      <c r="AB16" s="82">
        <v>10</v>
      </c>
      <c r="AC16" s="73">
        <f>(36510+63490)/10000</f>
        <v>10</v>
      </c>
      <c r="AD16" s="74">
        <f t="shared" si="2"/>
        <v>0</v>
      </c>
      <c r="AE16" s="73">
        <f t="shared" si="3"/>
        <v>10</v>
      </c>
      <c r="AF16" s="73">
        <f>(63490+36510)/10000</f>
        <v>10</v>
      </c>
      <c r="AG16" s="83">
        <f t="shared" si="4"/>
        <v>0</v>
      </c>
    </row>
    <row r="17" spans="1:33" ht="85.5" customHeight="1" x14ac:dyDescent="0.25">
      <c r="A17" s="16">
        <v>10</v>
      </c>
      <c r="B17" s="17" t="s">
        <v>6</v>
      </c>
      <c r="C17" s="18" t="s">
        <v>1</v>
      </c>
      <c r="D17" s="19" t="s">
        <v>23</v>
      </c>
      <c r="E17" s="20" t="s">
        <v>32</v>
      </c>
      <c r="F17" s="29" t="s">
        <v>103</v>
      </c>
      <c r="G17" s="26" t="s">
        <v>48</v>
      </c>
      <c r="H17" s="25" t="s">
        <v>50</v>
      </c>
      <c r="I17" s="21">
        <v>2024</v>
      </c>
      <c r="J17" s="28">
        <v>1525420.18</v>
      </c>
      <c r="K17" s="22">
        <v>45991</v>
      </c>
      <c r="L17" s="101"/>
      <c r="M17" s="27" t="s">
        <v>49</v>
      </c>
      <c r="N17" s="21" t="s">
        <v>4</v>
      </c>
      <c r="O17" s="33"/>
      <c r="P17" s="66">
        <f>301120.12*4.9715</f>
        <v>1497018.67658</v>
      </c>
      <c r="Q17" s="59">
        <f>28401.5+0.00341999996453524</f>
        <v>28401.503419999965</v>
      </c>
      <c r="R17" s="59"/>
      <c r="S17" s="59"/>
      <c r="T17" s="59"/>
      <c r="U17" s="59"/>
      <c r="V17" s="59"/>
      <c r="W17" s="59"/>
      <c r="X17" s="59"/>
      <c r="Y17" s="59">
        <f t="shared" si="1"/>
        <v>1525420.18</v>
      </c>
      <c r="Z17" s="67">
        <f t="shared" si="0"/>
        <v>0</v>
      </c>
      <c r="AB17" s="82">
        <v>215.08580000000001</v>
      </c>
      <c r="AC17" s="73">
        <f>(815000+193500+81200+563291+470500+27367)/10000</f>
        <v>215.08580000000001</v>
      </c>
      <c r="AD17" s="74">
        <f t="shared" si="2"/>
        <v>0</v>
      </c>
      <c r="AE17" s="73">
        <f t="shared" si="3"/>
        <v>215.08580000000001</v>
      </c>
      <c r="AF17" s="73">
        <f>(815000+193500+81200+563291+470500+27367)/10000</f>
        <v>215.08580000000001</v>
      </c>
      <c r="AG17" s="83">
        <f t="shared" si="4"/>
        <v>0</v>
      </c>
    </row>
    <row r="18" spans="1:33" ht="100.5" customHeight="1" x14ac:dyDescent="0.25">
      <c r="A18" s="16">
        <v>11</v>
      </c>
      <c r="B18" s="17" t="s">
        <v>6</v>
      </c>
      <c r="C18" s="18" t="s">
        <v>1</v>
      </c>
      <c r="D18" s="19" t="s">
        <v>23</v>
      </c>
      <c r="E18" s="20" t="s">
        <v>12</v>
      </c>
      <c r="F18" s="29" t="s">
        <v>112</v>
      </c>
      <c r="G18" s="26" t="s">
        <v>52</v>
      </c>
      <c r="H18" s="25" t="s">
        <v>65</v>
      </c>
      <c r="I18" s="21">
        <v>2024</v>
      </c>
      <c r="J18" s="28">
        <v>587317.76000000001</v>
      </c>
      <c r="K18" s="22">
        <v>45991</v>
      </c>
      <c r="L18" s="101"/>
      <c r="M18" s="27" t="s">
        <v>53</v>
      </c>
      <c r="N18" s="21" t="s">
        <v>4</v>
      </c>
      <c r="O18" s="33"/>
      <c r="P18" s="66">
        <v>578480.76</v>
      </c>
      <c r="Q18" s="59">
        <v>8837</v>
      </c>
      <c r="R18" s="59"/>
      <c r="S18" s="59"/>
      <c r="T18" s="59"/>
      <c r="U18" s="59"/>
      <c r="V18" s="59"/>
      <c r="W18" s="59"/>
      <c r="X18" s="59"/>
      <c r="Y18" s="59">
        <f t="shared" si="1"/>
        <v>587317.76000000001</v>
      </c>
      <c r="Z18" s="67">
        <f t="shared" si="0"/>
        <v>0</v>
      </c>
      <c r="AB18" s="82">
        <v>40.785200000000003</v>
      </c>
      <c r="AC18" s="73">
        <v>40.785200000000003</v>
      </c>
      <c r="AD18" s="74">
        <f t="shared" si="2"/>
        <v>0</v>
      </c>
      <c r="AE18" s="73">
        <f t="shared" si="3"/>
        <v>40.785200000000003</v>
      </c>
      <c r="AF18" s="73">
        <f>(57248+60000+40000+67000+42000+19000+40000+82604)/10000</f>
        <v>40.785200000000003</v>
      </c>
      <c r="AG18" s="83">
        <f t="shared" si="4"/>
        <v>0</v>
      </c>
    </row>
    <row r="19" spans="1:33" ht="60" customHeight="1" x14ac:dyDescent="0.25">
      <c r="A19" s="16">
        <v>12</v>
      </c>
      <c r="B19" s="17" t="s">
        <v>6</v>
      </c>
      <c r="C19" s="18" t="s">
        <v>1</v>
      </c>
      <c r="D19" s="19" t="s">
        <v>23</v>
      </c>
      <c r="E19" s="20" t="s">
        <v>12</v>
      </c>
      <c r="F19" s="24" t="s">
        <v>115</v>
      </c>
      <c r="G19" s="26" t="s">
        <v>61</v>
      </c>
      <c r="H19" s="25" t="s">
        <v>84</v>
      </c>
      <c r="I19" s="21">
        <v>2023</v>
      </c>
      <c r="J19" s="28">
        <v>138152.39000000001</v>
      </c>
      <c r="K19" s="22">
        <v>45991</v>
      </c>
      <c r="L19" s="101"/>
      <c r="M19" s="27" t="s">
        <v>63</v>
      </c>
      <c r="N19" s="21" t="s">
        <v>4</v>
      </c>
      <c r="O19" s="33"/>
      <c r="P19" s="66">
        <v>125710</v>
      </c>
      <c r="Q19" s="59">
        <f>3781+718.39</f>
        <v>4499.3900000000003</v>
      </c>
      <c r="R19" s="59"/>
      <c r="S19" s="59"/>
      <c r="T19" s="59"/>
      <c r="U19" s="59"/>
      <c r="V19" s="59"/>
      <c r="W19" s="59"/>
      <c r="X19" s="59">
        <v>7943</v>
      </c>
      <c r="Y19" s="59">
        <f t="shared" si="1"/>
        <v>138152.39000000001</v>
      </c>
      <c r="Z19" s="67">
        <f t="shared" si="0"/>
        <v>0</v>
      </c>
      <c r="AB19" s="82">
        <v>9.7035999999999998</v>
      </c>
      <c r="AC19" s="73">
        <f>97036/10000</f>
        <v>9.7035999999999998</v>
      </c>
      <c r="AD19" s="74">
        <f t="shared" si="2"/>
        <v>0</v>
      </c>
      <c r="AE19" s="73">
        <f t="shared" si="3"/>
        <v>9.7035999999999998</v>
      </c>
      <c r="AF19" s="73">
        <f>97036/10000</f>
        <v>9.7035999999999998</v>
      </c>
      <c r="AG19" s="83">
        <f t="shared" si="4"/>
        <v>0</v>
      </c>
    </row>
    <row r="20" spans="1:33" ht="38.25" customHeight="1" x14ac:dyDescent="0.25">
      <c r="A20" s="16">
        <v>13</v>
      </c>
      <c r="B20" s="17" t="s">
        <v>6</v>
      </c>
      <c r="C20" s="18" t="s">
        <v>1</v>
      </c>
      <c r="D20" s="19" t="s">
        <v>23</v>
      </c>
      <c r="E20" s="20" t="s">
        <v>32</v>
      </c>
      <c r="F20" s="24" t="s">
        <v>114</v>
      </c>
      <c r="G20" s="26" t="s">
        <v>57</v>
      </c>
      <c r="H20" s="25" t="s">
        <v>83</v>
      </c>
      <c r="I20" s="21">
        <v>2024</v>
      </c>
      <c r="J20" s="28">
        <v>155355</v>
      </c>
      <c r="K20" s="22">
        <v>45991</v>
      </c>
      <c r="L20" s="101"/>
      <c r="M20" s="27" t="s">
        <v>58</v>
      </c>
      <c r="N20" s="21" t="s">
        <v>4</v>
      </c>
      <c r="O20" s="33"/>
      <c r="P20" s="66">
        <v>150000</v>
      </c>
      <c r="Q20" s="59">
        <v>5355</v>
      </c>
      <c r="R20" s="59"/>
      <c r="S20" s="59"/>
      <c r="T20" s="59"/>
      <c r="U20" s="59"/>
      <c r="V20" s="59"/>
      <c r="W20" s="59"/>
      <c r="X20" s="59"/>
      <c r="Y20" s="59">
        <f t="shared" si="1"/>
        <v>155355</v>
      </c>
      <c r="Z20" s="67">
        <f t="shared" si="0"/>
        <v>0</v>
      </c>
      <c r="AB20" s="82">
        <v>10.5223</v>
      </c>
      <c r="AC20" s="73">
        <f>105223/10000</f>
        <v>10.5223</v>
      </c>
      <c r="AD20" s="74">
        <f t="shared" si="2"/>
        <v>0</v>
      </c>
      <c r="AE20" s="73">
        <f t="shared" si="3"/>
        <v>10.5223</v>
      </c>
      <c r="AF20" s="73">
        <f>105223/10000</f>
        <v>10.5223</v>
      </c>
      <c r="AG20" s="83">
        <f t="shared" si="4"/>
        <v>0</v>
      </c>
    </row>
    <row r="21" spans="1:33" ht="69.75" customHeight="1" thickBot="1" x14ac:dyDescent="0.3">
      <c r="A21" s="16">
        <v>14</v>
      </c>
      <c r="B21" s="90" t="s">
        <v>6</v>
      </c>
      <c r="C21" s="91" t="s">
        <v>1</v>
      </c>
      <c r="D21" s="48" t="s">
        <v>23</v>
      </c>
      <c r="E21" s="47" t="s">
        <v>32</v>
      </c>
      <c r="F21" s="92" t="s">
        <v>113</v>
      </c>
      <c r="G21" s="93" t="s">
        <v>55</v>
      </c>
      <c r="H21" s="30" t="s">
        <v>62</v>
      </c>
      <c r="I21" s="94">
        <v>2024</v>
      </c>
      <c r="J21" s="49">
        <v>196272.5</v>
      </c>
      <c r="K21" s="95">
        <v>45991</v>
      </c>
      <c r="L21" s="101"/>
      <c r="M21" s="96" t="s">
        <v>56</v>
      </c>
      <c r="N21" s="94" t="s">
        <v>4</v>
      </c>
      <c r="O21" s="33"/>
      <c r="P21" s="68">
        <v>193000</v>
      </c>
      <c r="Q21" s="69">
        <v>3272.5</v>
      </c>
      <c r="R21" s="69"/>
      <c r="S21" s="69"/>
      <c r="T21" s="69"/>
      <c r="U21" s="69"/>
      <c r="V21" s="69"/>
      <c r="W21" s="69"/>
      <c r="X21" s="69"/>
      <c r="Y21" s="69">
        <f t="shared" si="1"/>
        <v>196272.5</v>
      </c>
      <c r="Z21" s="70">
        <f t="shared" si="0"/>
        <v>0</v>
      </c>
      <c r="AB21" s="85">
        <v>29.55</v>
      </c>
      <c r="AC21" s="86">
        <f>295500/10000</f>
        <v>29.55</v>
      </c>
      <c r="AD21" s="87">
        <f t="shared" si="2"/>
        <v>0</v>
      </c>
      <c r="AE21" s="86">
        <f t="shared" si="3"/>
        <v>29.55</v>
      </c>
      <c r="AF21" s="86">
        <f>295500/10000</f>
        <v>29.55</v>
      </c>
      <c r="AG21" s="88">
        <f t="shared" si="4"/>
        <v>0</v>
      </c>
    </row>
    <row r="22" spans="1:33" ht="15.75" thickBot="1" x14ac:dyDescent="0.3">
      <c r="A22" s="102" t="s">
        <v>2</v>
      </c>
      <c r="B22" s="103"/>
      <c r="C22" s="103"/>
      <c r="D22" s="103"/>
      <c r="E22" s="103"/>
      <c r="F22" s="103"/>
      <c r="G22" s="103"/>
      <c r="H22" s="103"/>
      <c r="I22" s="104"/>
      <c r="J22" s="97">
        <f>SUM(J8:J21)</f>
        <v>3223765.8299999996</v>
      </c>
      <c r="K22" s="105"/>
      <c r="L22" s="106"/>
      <c r="M22" s="106"/>
      <c r="N22" s="107"/>
      <c r="O22" s="34"/>
      <c r="P22" s="53"/>
    </row>
  </sheetData>
  <mergeCells count="18">
    <mergeCell ref="L5:L6"/>
    <mergeCell ref="M5:N5"/>
    <mergeCell ref="L8:L21"/>
    <mergeCell ref="A22:I22"/>
    <mergeCell ref="K22:N22"/>
    <mergeCell ref="A2:N2"/>
    <mergeCell ref="A3:N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conditionalFormatting sqref="Z1:Z1048576 AD1:AD1048576 AG1:AG1048576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paperSize="8" scale="69" orientation="landscape" r:id="rId1"/>
  <headerFooter>
    <oddHeader xml:space="preserve">&amp;C
&amp;G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4C1F0-5608-48DE-95FE-3B6F85C7A715}">
  <sheetPr>
    <pageSetUpPr fitToPage="1"/>
  </sheetPr>
  <dimension ref="A1:AG23"/>
  <sheetViews>
    <sheetView topLeftCell="H1" zoomScaleNormal="100" workbookViewId="0">
      <pane ySplit="6" topLeftCell="A21" activePane="bottomLeft" state="frozen"/>
      <selection activeCell="H1" sqref="H1"/>
      <selection pane="bottomLeft" activeCell="V15" sqref="V15:X15"/>
    </sheetView>
  </sheetViews>
  <sheetFormatPr defaultRowHeight="15" x14ac:dyDescent="0.25"/>
  <cols>
    <col min="1" max="1" width="3.28515625" style="1" customWidth="1"/>
    <col min="2" max="2" width="11" style="1" customWidth="1"/>
    <col min="3" max="3" width="9.140625" style="1"/>
    <col min="4" max="4" width="6.7109375" style="1" customWidth="1"/>
    <col min="5" max="5" width="13.28515625" style="31" customWidth="1"/>
    <col min="6" max="6" width="37.85546875" style="1" customWidth="1"/>
    <col min="7" max="7" width="15" style="1" customWidth="1"/>
    <col min="8" max="8" width="43" style="1" customWidth="1"/>
    <col min="9" max="9" width="8.7109375" style="1" customWidth="1"/>
    <col min="10" max="10" width="12.28515625" style="1" customWidth="1"/>
    <col min="11" max="11" width="14.42578125" style="1" customWidth="1"/>
    <col min="12" max="12" width="10.5703125" style="1" customWidth="1"/>
    <col min="13" max="13" width="42" style="1" customWidth="1"/>
    <col min="14" max="14" width="11" style="1" customWidth="1"/>
    <col min="15" max="15" width="2.28515625" style="1" customWidth="1"/>
    <col min="16" max="16" width="13.7109375" style="52" bestFit="1" customWidth="1"/>
    <col min="17" max="17" width="10.85546875" style="52" bestFit="1" customWidth="1"/>
    <col min="18" max="18" width="9.7109375" style="52" bestFit="1" customWidth="1"/>
    <col min="19" max="19" width="6.5703125" style="52" bestFit="1" customWidth="1"/>
    <col min="20" max="21" width="9.7109375" style="52" bestFit="1" customWidth="1"/>
    <col min="22" max="22" width="9.7109375" style="52" customWidth="1"/>
    <col min="23" max="24" width="10.85546875" style="52" bestFit="1" customWidth="1"/>
    <col min="25" max="25" width="13.7109375" style="52" bestFit="1" customWidth="1"/>
    <col min="26" max="26" width="5.5703125" style="35" bestFit="1" customWidth="1"/>
    <col min="27" max="27" width="2.5703125" style="45" customWidth="1"/>
    <col min="28" max="29" width="10.42578125" style="55" bestFit="1" customWidth="1"/>
    <col min="30" max="30" width="8" style="57" bestFit="1" customWidth="1"/>
    <col min="31" max="32" width="10.42578125" style="55" bestFit="1" customWidth="1"/>
    <col min="33" max="33" width="8" style="57" bestFit="1" customWidth="1"/>
    <col min="34" max="16384" width="9.140625" style="1"/>
  </cols>
  <sheetData>
    <row r="1" spans="1:33" s="32" customFormat="1" ht="15.75" x14ac:dyDescent="0.25">
      <c r="A1" s="36"/>
      <c r="B1" s="36"/>
      <c r="C1" s="36"/>
      <c r="D1" s="36"/>
      <c r="E1" s="98"/>
      <c r="F1" s="36"/>
      <c r="G1" s="36"/>
      <c r="H1" s="36"/>
      <c r="I1" s="36"/>
      <c r="J1" s="36"/>
      <c r="K1" s="36"/>
      <c r="L1" s="36"/>
      <c r="N1" s="37" t="s">
        <v>13</v>
      </c>
      <c r="P1" s="50"/>
      <c r="Q1" s="50"/>
      <c r="R1" s="50"/>
      <c r="S1" s="50"/>
      <c r="T1" s="50"/>
      <c r="U1" s="50"/>
      <c r="V1" s="50"/>
      <c r="W1" s="50"/>
      <c r="X1" s="50"/>
      <c r="Y1" s="50"/>
      <c r="Z1" s="51"/>
      <c r="AA1" s="44"/>
      <c r="AB1" s="54"/>
      <c r="AC1" s="54"/>
      <c r="AD1" s="56"/>
      <c r="AE1" s="54"/>
      <c r="AF1" s="54"/>
      <c r="AG1" s="56"/>
    </row>
    <row r="2" spans="1:33" s="32" customFormat="1" ht="15.75" x14ac:dyDescent="0.25">
      <c r="A2" s="108" t="s">
        <v>14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  <c r="AA2" s="44"/>
      <c r="AB2" s="54"/>
      <c r="AC2" s="54"/>
      <c r="AD2" s="56"/>
      <c r="AE2" s="54"/>
      <c r="AF2" s="54"/>
      <c r="AG2" s="56"/>
    </row>
    <row r="3" spans="1:33" s="32" customFormat="1" ht="15.75" x14ac:dyDescent="0.25">
      <c r="A3" s="108" t="s">
        <v>15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38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  <c r="AA3" s="44"/>
      <c r="AB3" s="54"/>
      <c r="AC3" s="54"/>
      <c r="AD3" s="56"/>
      <c r="AE3" s="54"/>
      <c r="AF3" s="54"/>
      <c r="AG3" s="56"/>
    </row>
    <row r="4" spans="1:33" ht="15.75" thickBot="1" x14ac:dyDescent="0.3">
      <c r="A4" s="39"/>
      <c r="B4" s="39"/>
      <c r="C4" s="40"/>
      <c r="D4" s="40"/>
      <c r="E4" s="99"/>
      <c r="F4" s="40"/>
      <c r="G4" s="41"/>
      <c r="H4" s="42"/>
      <c r="I4" s="40"/>
      <c r="J4" s="43"/>
      <c r="K4" s="43"/>
      <c r="L4" s="43"/>
      <c r="M4" s="40"/>
      <c r="N4" s="39"/>
      <c r="O4" s="33"/>
    </row>
    <row r="5" spans="1:33" ht="15.75" thickBot="1" x14ac:dyDescent="0.3">
      <c r="A5" s="109" t="s">
        <v>8</v>
      </c>
      <c r="B5" s="111" t="s">
        <v>16</v>
      </c>
      <c r="C5" s="113" t="s">
        <v>7</v>
      </c>
      <c r="D5" s="115" t="s">
        <v>0</v>
      </c>
      <c r="E5" s="117" t="s">
        <v>17</v>
      </c>
      <c r="F5" s="119" t="s">
        <v>18</v>
      </c>
      <c r="G5" s="121" t="s">
        <v>9</v>
      </c>
      <c r="H5" s="123" t="s">
        <v>19</v>
      </c>
      <c r="I5" s="125" t="s">
        <v>5</v>
      </c>
      <c r="J5" s="127" t="s">
        <v>20</v>
      </c>
      <c r="K5" s="129" t="s">
        <v>21</v>
      </c>
      <c r="L5" s="117" t="s">
        <v>10</v>
      </c>
      <c r="M5" s="131" t="s">
        <v>3</v>
      </c>
      <c r="N5" s="132"/>
    </row>
    <row r="6" spans="1:33" ht="54.75" customHeight="1" thickBot="1" x14ac:dyDescent="0.3">
      <c r="A6" s="110"/>
      <c r="B6" s="112"/>
      <c r="C6" s="114"/>
      <c r="D6" s="116"/>
      <c r="E6" s="118"/>
      <c r="F6" s="120"/>
      <c r="G6" s="122"/>
      <c r="H6" s="124"/>
      <c r="I6" s="126"/>
      <c r="J6" s="128"/>
      <c r="K6" s="130"/>
      <c r="L6" s="118"/>
      <c r="M6" s="2" t="s">
        <v>22</v>
      </c>
      <c r="N6" s="3" t="s">
        <v>11</v>
      </c>
      <c r="P6" s="60" t="s">
        <v>36</v>
      </c>
      <c r="Q6" s="61" t="s">
        <v>97</v>
      </c>
      <c r="R6" s="61" t="s">
        <v>37</v>
      </c>
      <c r="S6" s="61" t="s">
        <v>45</v>
      </c>
      <c r="T6" s="61" t="s">
        <v>40</v>
      </c>
      <c r="U6" s="61" t="s">
        <v>41</v>
      </c>
      <c r="V6" s="61" t="s">
        <v>42</v>
      </c>
      <c r="W6" s="61" t="s">
        <v>43</v>
      </c>
      <c r="X6" s="61" t="s">
        <v>44</v>
      </c>
      <c r="Y6" s="62" t="s">
        <v>38</v>
      </c>
      <c r="Z6" s="63" t="s">
        <v>39</v>
      </c>
      <c r="AB6" s="76" t="s">
        <v>98</v>
      </c>
      <c r="AC6" s="77" t="s">
        <v>99</v>
      </c>
      <c r="AD6" s="78" t="s">
        <v>39</v>
      </c>
      <c r="AE6" s="77" t="s">
        <v>98</v>
      </c>
      <c r="AF6" s="77" t="s">
        <v>100</v>
      </c>
      <c r="AG6" s="79" t="s">
        <v>39</v>
      </c>
    </row>
    <row r="7" spans="1:33" s="15" customFormat="1" ht="12" customHeight="1" thickBot="1" x14ac:dyDescent="0.3">
      <c r="A7" s="4">
        <v>0</v>
      </c>
      <c r="B7" s="5">
        <v>1</v>
      </c>
      <c r="C7" s="6">
        <v>2</v>
      </c>
      <c r="D7" s="6">
        <v>3</v>
      </c>
      <c r="E7" s="7">
        <v>4</v>
      </c>
      <c r="F7" s="8">
        <v>5</v>
      </c>
      <c r="G7" s="9">
        <v>6</v>
      </c>
      <c r="H7" s="9">
        <v>7</v>
      </c>
      <c r="I7" s="10">
        <v>8</v>
      </c>
      <c r="J7" s="11">
        <v>9</v>
      </c>
      <c r="K7" s="12">
        <v>10</v>
      </c>
      <c r="L7" s="13">
        <v>11</v>
      </c>
      <c r="M7" s="14">
        <v>12</v>
      </c>
      <c r="N7" s="10">
        <v>13</v>
      </c>
      <c r="P7" s="64"/>
      <c r="Q7" s="58"/>
      <c r="R7" s="58"/>
      <c r="S7" s="58"/>
      <c r="T7" s="58"/>
      <c r="U7" s="58"/>
      <c r="V7" s="58"/>
      <c r="W7" s="58"/>
      <c r="X7" s="58"/>
      <c r="Y7" s="58"/>
      <c r="Z7" s="65"/>
      <c r="AB7" s="80"/>
      <c r="AC7" s="71"/>
      <c r="AD7" s="72"/>
      <c r="AE7" s="71"/>
      <c r="AF7" s="71"/>
      <c r="AG7" s="81"/>
    </row>
    <row r="8" spans="1:33" ht="45" x14ac:dyDescent="0.25">
      <c r="A8" s="16">
        <v>1</v>
      </c>
      <c r="B8" s="17" t="s">
        <v>6</v>
      </c>
      <c r="C8" s="18" t="s">
        <v>1</v>
      </c>
      <c r="D8" s="19" t="s">
        <v>23</v>
      </c>
      <c r="E8" s="20" t="s">
        <v>12</v>
      </c>
      <c r="F8" s="24" t="s">
        <v>27</v>
      </c>
      <c r="G8" s="26" t="s">
        <v>28</v>
      </c>
      <c r="H8" s="25" t="s">
        <v>30</v>
      </c>
      <c r="I8" s="21">
        <v>2024</v>
      </c>
      <c r="J8" s="28">
        <v>16478</v>
      </c>
      <c r="K8" s="22">
        <v>45991</v>
      </c>
      <c r="L8" s="100" t="s">
        <v>87</v>
      </c>
      <c r="M8" s="27" t="s">
        <v>31</v>
      </c>
      <c r="N8" s="21" t="s">
        <v>4</v>
      </c>
      <c r="O8" s="33"/>
      <c r="P8" s="66">
        <v>15000</v>
      </c>
      <c r="Q8" s="59">
        <f>290+950+48+190</f>
        <v>1478</v>
      </c>
      <c r="R8" s="59"/>
      <c r="S8" s="59"/>
      <c r="T8" s="59"/>
      <c r="U8" s="59"/>
      <c r="V8" s="59"/>
      <c r="W8" s="59"/>
      <c r="X8" s="59"/>
      <c r="Y8" s="59">
        <f>SUM(P8:X8)</f>
        <v>16478</v>
      </c>
      <c r="Z8" s="67">
        <f t="shared" ref="Z8:Z22" si="0">Y8-J8</f>
        <v>0</v>
      </c>
      <c r="AB8" s="82">
        <v>1.5134000000000001</v>
      </c>
      <c r="AC8" s="73">
        <f>15134/10000</f>
        <v>1.5134000000000001</v>
      </c>
      <c r="AD8" s="74">
        <f>AB8-AC8</f>
        <v>0</v>
      </c>
      <c r="AE8" s="73">
        <f>AB8</f>
        <v>1.5134000000000001</v>
      </c>
      <c r="AF8" s="73">
        <f>15134/10000</f>
        <v>1.5134000000000001</v>
      </c>
      <c r="AG8" s="83">
        <f>AE8-AF8</f>
        <v>0</v>
      </c>
    </row>
    <row r="9" spans="1:33" ht="42.75" customHeight="1" x14ac:dyDescent="0.25">
      <c r="A9" s="16">
        <v>2</v>
      </c>
      <c r="B9" s="17" t="s">
        <v>6</v>
      </c>
      <c r="C9" s="18" t="s">
        <v>1</v>
      </c>
      <c r="D9" s="19" t="s">
        <v>23</v>
      </c>
      <c r="E9" s="20" t="s">
        <v>12</v>
      </c>
      <c r="F9" s="24" t="s">
        <v>24</v>
      </c>
      <c r="G9" s="26" t="s">
        <v>25</v>
      </c>
      <c r="H9" s="25" t="s">
        <v>29</v>
      </c>
      <c r="I9" s="21">
        <v>2024</v>
      </c>
      <c r="J9" s="28">
        <v>152107</v>
      </c>
      <c r="K9" s="22">
        <v>45991</v>
      </c>
      <c r="L9" s="101"/>
      <c r="M9" s="27" t="s">
        <v>26</v>
      </c>
      <c r="N9" s="21" t="s">
        <v>4</v>
      </c>
      <c r="O9" s="33"/>
      <c r="P9" s="66">
        <f>7500*4.977+0.5+22155.2*5</f>
        <v>148104</v>
      </c>
      <c r="Q9" s="59">
        <f>2737+60</f>
        <v>2797</v>
      </c>
      <c r="R9" s="59">
        <v>1206</v>
      </c>
      <c r="S9" s="59"/>
      <c r="T9" s="59"/>
      <c r="U9" s="59"/>
      <c r="V9" s="59"/>
      <c r="W9" s="59"/>
      <c r="X9" s="59"/>
      <c r="Y9" s="59">
        <f t="shared" ref="Y9:Y22" si="1">SUM(P9:X9)</f>
        <v>152107</v>
      </c>
      <c r="Z9" s="67">
        <f t="shared" si="0"/>
        <v>0</v>
      </c>
      <c r="AB9" s="82">
        <v>10</v>
      </c>
      <c r="AC9" s="73">
        <f>100000/10000</f>
        <v>10</v>
      </c>
      <c r="AD9" s="74">
        <f t="shared" ref="AD9:AD22" si="2">AB9-AC9</f>
        <v>0</v>
      </c>
      <c r="AE9" s="73">
        <f t="shared" ref="AE9:AE22" si="3">AB9</f>
        <v>10</v>
      </c>
      <c r="AF9" s="73">
        <f>100000/10000</f>
        <v>10</v>
      </c>
      <c r="AG9" s="83">
        <f t="shared" ref="AG9:AG22" si="4">AE9-AF9</f>
        <v>0</v>
      </c>
    </row>
    <row r="10" spans="1:33" s="33" customFormat="1" ht="39" customHeight="1" x14ac:dyDescent="0.25">
      <c r="A10" s="16">
        <v>3</v>
      </c>
      <c r="B10" s="17" t="s">
        <v>6</v>
      </c>
      <c r="C10" s="18" t="s">
        <v>1</v>
      </c>
      <c r="D10" s="19" t="s">
        <v>23</v>
      </c>
      <c r="E10" s="20" t="s">
        <v>86</v>
      </c>
      <c r="F10" s="24" t="s">
        <v>90</v>
      </c>
      <c r="G10" s="26" t="s">
        <v>92</v>
      </c>
      <c r="H10" s="25" t="s">
        <v>93</v>
      </c>
      <c r="I10" s="21">
        <v>2014</v>
      </c>
      <c r="J10" s="28">
        <v>84430</v>
      </c>
      <c r="K10" s="22">
        <v>45961</v>
      </c>
      <c r="L10" s="101"/>
      <c r="M10" s="27" t="s">
        <v>88</v>
      </c>
      <c r="N10" s="21" t="s">
        <v>4</v>
      </c>
      <c r="P10" s="66">
        <v>50171.62</v>
      </c>
      <c r="Q10" s="59">
        <f>2039.8+60-394.8+0.38</f>
        <v>1705.3800000000003</v>
      </c>
      <c r="R10" s="59"/>
      <c r="S10" s="59"/>
      <c r="T10" s="59"/>
      <c r="U10" s="59">
        <v>747</v>
      </c>
      <c r="V10" s="59">
        <v>3215</v>
      </c>
      <c r="W10" s="59">
        <v>8303</v>
      </c>
      <c r="X10" s="59">
        <v>20288</v>
      </c>
      <c r="Y10" s="59">
        <f t="shared" si="1"/>
        <v>84430</v>
      </c>
      <c r="Z10" s="67">
        <f t="shared" si="0"/>
        <v>0</v>
      </c>
      <c r="AA10" s="46"/>
      <c r="AB10" s="84">
        <v>4.5</v>
      </c>
      <c r="AC10" s="75">
        <f>90000/10000*2/4</f>
        <v>4.5</v>
      </c>
      <c r="AD10" s="74">
        <f t="shared" si="2"/>
        <v>0</v>
      </c>
      <c r="AE10" s="73">
        <f t="shared" si="3"/>
        <v>4.5</v>
      </c>
      <c r="AF10" s="75">
        <v>4.5</v>
      </c>
      <c r="AG10" s="83">
        <f t="shared" si="4"/>
        <v>0</v>
      </c>
    </row>
    <row r="11" spans="1:33" ht="51" customHeight="1" x14ac:dyDescent="0.25">
      <c r="A11" s="16">
        <v>4</v>
      </c>
      <c r="B11" s="17" t="s">
        <v>6</v>
      </c>
      <c r="C11" s="18" t="s">
        <v>1</v>
      </c>
      <c r="D11" s="19" t="s">
        <v>23</v>
      </c>
      <c r="E11" s="20" t="s">
        <v>86</v>
      </c>
      <c r="F11" s="29" t="s">
        <v>91</v>
      </c>
      <c r="G11" s="26" t="s">
        <v>92</v>
      </c>
      <c r="H11" s="25" t="s">
        <v>94</v>
      </c>
      <c r="I11" s="21">
        <v>2014</v>
      </c>
      <c r="J11" s="28">
        <v>143725</v>
      </c>
      <c r="K11" s="22">
        <v>45961</v>
      </c>
      <c r="L11" s="101"/>
      <c r="M11" s="27" t="s">
        <v>89</v>
      </c>
      <c r="N11" s="21" t="s">
        <v>4</v>
      </c>
      <c r="O11" s="33"/>
      <c r="P11" s="66">
        <f>3177.54+16311.35+65518.83</f>
        <v>85007.72</v>
      </c>
      <c r="Q11" s="59">
        <f>2492.4+372+1005.64+180-749.04+0.28</f>
        <v>3301.28</v>
      </c>
      <c r="R11" s="59"/>
      <c r="S11" s="59"/>
      <c r="T11" s="59"/>
      <c r="U11" s="59">
        <v>1272</v>
      </c>
      <c r="V11" s="59">
        <v>5473</v>
      </c>
      <c r="W11" s="59">
        <v>14135</v>
      </c>
      <c r="X11" s="59">
        <v>34536</v>
      </c>
      <c r="Y11" s="59">
        <f>SUM(P11:X11)</f>
        <v>143725</v>
      </c>
      <c r="Z11" s="67">
        <f t="shared" si="0"/>
        <v>0</v>
      </c>
      <c r="AB11" s="82">
        <v>7.6</v>
      </c>
      <c r="AC11" s="73">
        <f>73150/10000+2850/10000</f>
        <v>7.6000000000000005</v>
      </c>
      <c r="AD11" s="74">
        <f>AB11-AC11</f>
        <v>0</v>
      </c>
      <c r="AE11" s="73">
        <f>AB11</f>
        <v>7.6</v>
      </c>
      <c r="AF11" s="73">
        <f>2850/10000+73150/10000</f>
        <v>7.6000000000000005</v>
      </c>
      <c r="AG11" s="83">
        <f t="shared" si="4"/>
        <v>0</v>
      </c>
    </row>
    <row r="12" spans="1:33" ht="33.75" x14ac:dyDescent="0.25">
      <c r="A12" s="16">
        <v>5</v>
      </c>
      <c r="B12" s="17" t="s">
        <v>6</v>
      </c>
      <c r="C12" s="18" t="s">
        <v>1</v>
      </c>
      <c r="D12" s="19" t="s">
        <v>23</v>
      </c>
      <c r="E12" s="20" t="s">
        <v>32</v>
      </c>
      <c r="F12" s="24" t="s">
        <v>33</v>
      </c>
      <c r="G12" s="26" t="s">
        <v>34</v>
      </c>
      <c r="H12" s="25" t="s">
        <v>95</v>
      </c>
      <c r="I12" s="21">
        <v>2024</v>
      </c>
      <c r="J12" s="28">
        <v>52111</v>
      </c>
      <c r="K12" s="22">
        <v>45991</v>
      </c>
      <c r="L12" s="101"/>
      <c r="M12" s="27" t="s">
        <v>35</v>
      </c>
      <c r="N12" s="21" t="s">
        <v>4</v>
      </c>
      <c r="O12" s="33"/>
      <c r="P12" s="66">
        <v>49729</v>
      </c>
      <c r="Q12" s="59">
        <f>2000+382</f>
        <v>2382</v>
      </c>
      <c r="R12" s="59"/>
      <c r="S12" s="59"/>
      <c r="T12" s="59"/>
      <c r="U12" s="59"/>
      <c r="V12" s="59"/>
      <c r="W12" s="59"/>
      <c r="X12" s="59"/>
      <c r="Y12" s="59">
        <f t="shared" si="1"/>
        <v>52111</v>
      </c>
      <c r="Z12" s="67">
        <f t="shared" si="0"/>
        <v>0</v>
      </c>
      <c r="AB12" s="82">
        <v>4</v>
      </c>
      <c r="AC12" s="73">
        <f>40000/10000</f>
        <v>4</v>
      </c>
      <c r="AD12" s="74">
        <f t="shared" si="2"/>
        <v>0</v>
      </c>
      <c r="AE12" s="73">
        <f t="shared" si="3"/>
        <v>4</v>
      </c>
      <c r="AF12" s="73">
        <f>40000/10000</f>
        <v>4</v>
      </c>
      <c r="AG12" s="83">
        <f t="shared" si="4"/>
        <v>0</v>
      </c>
    </row>
    <row r="13" spans="1:33" ht="50.25" customHeight="1" x14ac:dyDescent="0.25">
      <c r="A13" s="16">
        <v>6</v>
      </c>
      <c r="B13" s="17" t="s">
        <v>6</v>
      </c>
      <c r="C13" s="18" t="s">
        <v>1</v>
      </c>
      <c r="D13" s="19" t="s">
        <v>23</v>
      </c>
      <c r="E13" s="20" t="s">
        <v>12</v>
      </c>
      <c r="F13" s="24" t="s">
        <v>46</v>
      </c>
      <c r="G13" s="26" t="s">
        <v>47</v>
      </c>
      <c r="H13" s="25" t="s">
        <v>64</v>
      </c>
      <c r="I13" s="21">
        <v>2008</v>
      </c>
      <c r="J13" s="28">
        <v>72628</v>
      </c>
      <c r="K13" s="22">
        <v>45991</v>
      </c>
      <c r="L13" s="101"/>
      <c r="M13" s="27" t="s">
        <v>78</v>
      </c>
      <c r="N13" s="21" t="s">
        <v>4</v>
      </c>
      <c r="O13" s="33"/>
      <c r="P13" s="66">
        <v>37000</v>
      </c>
      <c r="Q13" s="59">
        <f>761+100+325</f>
        <v>1186</v>
      </c>
      <c r="R13" s="59"/>
      <c r="S13" s="59"/>
      <c r="T13" s="59">
        <v>6438</v>
      </c>
      <c r="U13" s="59">
        <v>643</v>
      </c>
      <c r="V13" s="59">
        <v>2766</v>
      </c>
      <c r="W13" s="59">
        <v>7143</v>
      </c>
      <c r="X13" s="59">
        <v>17452</v>
      </c>
      <c r="Y13" s="59">
        <f>SUM(P13:X13)</f>
        <v>72628</v>
      </c>
      <c r="Z13" s="67">
        <f t="shared" si="0"/>
        <v>0</v>
      </c>
      <c r="AB13" s="82">
        <v>5</v>
      </c>
      <c r="AC13" s="73">
        <f>50000/10000</f>
        <v>5</v>
      </c>
      <c r="AD13" s="74">
        <f t="shared" si="2"/>
        <v>0</v>
      </c>
      <c r="AE13" s="73">
        <f t="shared" si="3"/>
        <v>5</v>
      </c>
      <c r="AF13" s="73">
        <f>50000/10000</f>
        <v>5</v>
      </c>
      <c r="AG13" s="83">
        <f t="shared" si="4"/>
        <v>0</v>
      </c>
    </row>
    <row r="14" spans="1:33" ht="50.25" customHeight="1" x14ac:dyDescent="0.25">
      <c r="A14" s="16">
        <v>7</v>
      </c>
      <c r="B14" s="17" t="s">
        <v>6</v>
      </c>
      <c r="C14" s="18" t="s">
        <v>1</v>
      </c>
      <c r="D14" s="19" t="s">
        <v>23</v>
      </c>
      <c r="E14" s="20" t="s">
        <v>32</v>
      </c>
      <c r="F14" s="24" t="s">
        <v>66</v>
      </c>
      <c r="G14" s="26" t="s">
        <v>69</v>
      </c>
      <c r="H14" s="25" t="s">
        <v>80</v>
      </c>
      <c r="I14" s="21">
        <v>2003</v>
      </c>
      <c r="J14" s="28">
        <v>18860</v>
      </c>
      <c r="K14" s="22">
        <v>46081</v>
      </c>
      <c r="L14" s="101"/>
      <c r="M14" s="27" t="s">
        <v>72</v>
      </c>
      <c r="N14" s="21" t="s">
        <v>4</v>
      </c>
      <c r="O14" s="33"/>
      <c r="P14" s="66">
        <f>117545812/10000</f>
        <v>11754.581200000001</v>
      </c>
      <c r="Q14" s="59">
        <v>0.41879999999946399</v>
      </c>
      <c r="R14" s="59"/>
      <c r="S14" s="59"/>
      <c r="T14" s="59"/>
      <c r="U14" s="59"/>
      <c r="V14" s="59">
        <v>718</v>
      </c>
      <c r="W14" s="59">
        <v>1855</v>
      </c>
      <c r="X14" s="59">
        <v>4532</v>
      </c>
      <c r="Y14" s="59">
        <f>SUM(P14:X14)</f>
        <v>18860</v>
      </c>
      <c r="Z14" s="67">
        <f t="shared" si="0"/>
        <v>0</v>
      </c>
      <c r="AB14" s="82">
        <v>6.0625</v>
      </c>
      <c r="AC14" s="73">
        <f>60625/10000</f>
        <v>6.0625</v>
      </c>
      <c r="AD14" s="74">
        <f t="shared" si="2"/>
        <v>0</v>
      </c>
      <c r="AE14" s="73">
        <f t="shared" si="3"/>
        <v>6.0625</v>
      </c>
      <c r="AF14" s="73">
        <f>60625/10000</f>
        <v>6.0625</v>
      </c>
      <c r="AG14" s="83">
        <f t="shared" si="4"/>
        <v>0</v>
      </c>
    </row>
    <row r="15" spans="1:33" ht="56.25" x14ac:dyDescent="0.25">
      <c r="A15" s="16">
        <v>8</v>
      </c>
      <c r="B15" s="17" t="s">
        <v>6</v>
      </c>
      <c r="C15" s="18" t="s">
        <v>1</v>
      </c>
      <c r="D15" s="19" t="s">
        <v>23</v>
      </c>
      <c r="E15" s="20" t="s">
        <v>32</v>
      </c>
      <c r="F15" s="24" t="s">
        <v>67</v>
      </c>
      <c r="G15" s="26" t="s">
        <v>70</v>
      </c>
      <c r="H15" s="25" t="s">
        <v>81</v>
      </c>
      <c r="I15" s="21">
        <v>2003</v>
      </c>
      <c r="J15" s="28">
        <v>32776</v>
      </c>
      <c r="K15" s="22">
        <v>46081</v>
      </c>
      <c r="L15" s="101"/>
      <c r="M15" s="27" t="s">
        <v>85</v>
      </c>
      <c r="N15" s="21" t="s">
        <v>4</v>
      </c>
      <c r="O15" s="33"/>
      <c r="P15" s="66">
        <f>204284500/10000</f>
        <v>20428.45</v>
      </c>
      <c r="Q15" s="59">
        <v>-0.44999999999709001</v>
      </c>
      <c r="R15" s="59"/>
      <c r="S15" s="59"/>
      <c r="T15" s="59"/>
      <c r="U15" s="59"/>
      <c r="V15" s="59">
        <v>1248</v>
      </c>
      <c r="W15" s="59">
        <v>3224</v>
      </c>
      <c r="X15" s="59">
        <v>7876</v>
      </c>
      <c r="Y15" s="59">
        <f t="shared" si="1"/>
        <v>32776</v>
      </c>
      <c r="Z15" s="67">
        <f t="shared" si="0"/>
        <v>0</v>
      </c>
      <c r="AB15" s="82">
        <v>5.8367000000000004</v>
      </c>
      <c r="AC15" s="73">
        <f>(17177+27061+14129)/10000</f>
        <v>5.8367000000000004</v>
      </c>
      <c r="AD15" s="74">
        <f t="shared" si="2"/>
        <v>0</v>
      </c>
      <c r="AE15" s="73">
        <f t="shared" si="3"/>
        <v>5.8367000000000004</v>
      </c>
      <c r="AF15" s="73">
        <f>(17177+27061+14129)/10000</f>
        <v>5.8367000000000004</v>
      </c>
      <c r="AG15" s="83">
        <f t="shared" si="4"/>
        <v>0</v>
      </c>
    </row>
    <row r="16" spans="1:33" ht="58.5" customHeight="1" x14ac:dyDescent="0.25">
      <c r="A16" s="16">
        <v>9</v>
      </c>
      <c r="B16" s="17" t="s">
        <v>6</v>
      </c>
      <c r="C16" s="18" t="s">
        <v>1</v>
      </c>
      <c r="D16" s="19" t="s">
        <v>23</v>
      </c>
      <c r="E16" s="20" t="s">
        <v>32</v>
      </c>
      <c r="F16" s="24" t="s">
        <v>68</v>
      </c>
      <c r="G16" s="26" t="s">
        <v>71</v>
      </c>
      <c r="H16" s="25" t="s">
        <v>79</v>
      </c>
      <c r="I16" s="21">
        <v>2003</v>
      </c>
      <c r="J16" s="28">
        <v>48133</v>
      </c>
      <c r="K16" s="22">
        <v>46081</v>
      </c>
      <c r="L16" s="101"/>
      <c r="M16" s="27" t="s">
        <v>73</v>
      </c>
      <c r="N16" s="21" t="s">
        <v>4</v>
      </c>
      <c r="O16" s="33"/>
      <c r="P16" s="66">
        <f>300000000/10000</f>
        <v>30000</v>
      </c>
      <c r="Q16" s="59"/>
      <c r="R16" s="59"/>
      <c r="S16" s="59"/>
      <c r="T16" s="59"/>
      <c r="U16" s="59"/>
      <c r="V16" s="59">
        <v>1833</v>
      </c>
      <c r="W16" s="59">
        <v>4734</v>
      </c>
      <c r="X16" s="59">
        <v>11566</v>
      </c>
      <c r="Y16" s="59">
        <f>SUM(P16:X16)</f>
        <v>48133</v>
      </c>
      <c r="Z16" s="67">
        <f t="shared" si="0"/>
        <v>0</v>
      </c>
      <c r="AA16" s="23"/>
      <c r="AB16" s="82">
        <v>10</v>
      </c>
      <c r="AC16" s="73">
        <f>(36510+63490)/10000</f>
        <v>10</v>
      </c>
      <c r="AD16" s="74">
        <f t="shared" si="2"/>
        <v>0</v>
      </c>
      <c r="AE16" s="73">
        <f t="shared" si="3"/>
        <v>10</v>
      </c>
      <c r="AF16" s="73">
        <f>(63490+36510)/10000</f>
        <v>10</v>
      </c>
      <c r="AG16" s="83">
        <f t="shared" si="4"/>
        <v>0</v>
      </c>
    </row>
    <row r="17" spans="1:33" ht="81.75" customHeight="1" x14ac:dyDescent="0.25">
      <c r="A17" s="16">
        <v>10</v>
      </c>
      <c r="B17" s="17" t="s">
        <v>6</v>
      </c>
      <c r="C17" s="18" t="s">
        <v>1</v>
      </c>
      <c r="D17" s="19" t="s">
        <v>23</v>
      </c>
      <c r="E17" s="20" t="s">
        <v>32</v>
      </c>
      <c r="F17" s="24" t="s">
        <v>51</v>
      </c>
      <c r="G17" s="26" t="s">
        <v>48</v>
      </c>
      <c r="H17" s="25" t="s">
        <v>50</v>
      </c>
      <c r="I17" s="21">
        <v>2024</v>
      </c>
      <c r="J17" s="28">
        <v>1525420.18</v>
      </c>
      <c r="K17" s="22">
        <v>45991</v>
      </c>
      <c r="L17" s="101"/>
      <c r="M17" s="27" t="s">
        <v>49</v>
      </c>
      <c r="N17" s="21" t="s">
        <v>4</v>
      </c>
      <c r="O17" s="33"/>
      <c r="P17" s="66">
        <f>301120.12*4.9715</f>
        <v>1497018.67658</v>
      </c>
      <c r="Q17" s="59">
        <f>28401.5+0.00341999996453524</f>
        <v>28401.503419999965</v>
      </c>
      <c r="R17" s="59"/>
      <c r="S17" s="59"/>
      <c r="T17" s="59"/>
      <c r="U17" s="59"/>
      <c r="V17" s="59"/>
      <c r="W17" s="59"/>
      <c r="X17" s="59"/>
      <c r="Y17" s="59">
        <f t="shared" si="1"/>
        <v>1525420.18</v>
      </c>
      <c r="Z17" s="67">
        <f t="shared" si="0"/>
        <v>0</v>
      </c>
      <c r="AB17" s="82">
        <v>215.08580000000001</v>
      </c>
      <c r="AC17" s="73">
        <f>(815000+193500+81200+563291+470500+27367)/10000</f>
        <v>215.08580000000001</v>
      </c>
      <c r="AD17" s="74">
        <f t="shared" si="2"/>
        <v>0</v>
      </c>
      <c r="AE17" s="73">
        <f t="shared" si="3"/>
        <v>215.08580000000001</v>
      </c>
      <c r="AF17" s="73">
        <f>(815000+193500+81200+563291+470500+27367)/10000</f>
        <v>215.08580000000001</v>
      </c>
      <c r="AG17" s="83">
        <f t="shared" si="4"/>
        <v>0</v>
      </c>
    </row>
    <row r="18" spans="1:33" ht="37.5" customHeight="1" x14ac:dyDescent="0.25">
      <c r="A18" s="16">
        <v>11</v>
      </c>
      <c r="B18" s="17" t="s">
        <v>6</v>
      </c>
      <c r="C18" s="18" t="s">
        <v>1</v>
      </c>
      <c r="D18" s="19" t="s">
        <v>23</v>
      </c>
      <c r="E18" s="20" t="s">
        <v>74</v>
      </c>
      <c r="F18" s="24" t="s">
        <v>75</v>
      </c>
      <c r="G18" s="26" t="s">
        <v>76</v>
      </c>
      <c r="H18" s="25" t="s">
        <v>82</v>
      </c>
      <c r="I18" s="21">
        <v>2025</v>
      </c>
      <c r="J18" s="28">
        <v>3680.6</v>
      </c>
      <c r="K18" s="22">
        <v>46022</v>
      </c>
      <c r="L18" s="101"/>
      <c r="M18" s="27" t="s">
        <v>77</v>
      </c>
      <c r="N18" s="21" t="s">
        <v>4</v>
      </c>
      <c r="O18" s="33"/>
      <c r="P18" s="66">
        <v>3173</v>
      </c>
      <c r="Q18" s="59">
        <f>72+360+75.6</f>
        <v>507.6</v>
      </c>
      <c r="R18" s="59"/>
      <c r="S18" s="59"/>
      <c r="T18" s="59"/>
      <c r="U18" s="59"/>
      <c r="V18" s="59"/>
      <c r="W18" s="59"/>
      <c r="X18" s="59"/>
      <c r="Y18" s="59">
        <f t="shared" si="1"/>
        <v>3680.6</v>
      </c>
      <c r="Z18" s="67">
        <f t="shared" si="0"/>
        <v>0</v>
      </c>
      <c r="AB18" s="82">
        <v>0.42959999999999998</v>
      </c>
      <c r="AC18" s="73">
        <f>4296/10000</f>
        <v>0.42959999999999998</v>
      </c>
      <c r="AD18" s="74">
        <f t="shared" si="2"/>
        <v>0</v>
      </c>
      <c r="AE18" s="73">
        <f t="shared" si="3"/>
        <v>0.42959999999999998</v>
      </c>
      <c r="AF18" s="73">
        <f>4296/10000</f>
        <v>0.42959999999999998</v>
      </c>
      <c r="AG18" s="83">
        <f t="shared" si="4"/>
        <v>0</v>
      </c>
    </row>
    <row r="19" spans="1:33" ht="104.25" customHeight="1" x14ac:dyDescent="0.25">
      <c r="A19" s="16">
        <v>12</v>
      </c>
      <c r="B19" s="17" t="s">
        <v>6</v>
      </c>
      <c r="C19" s="18" t="s">
        <v>1</v>
      </c>
      <c r="D19" s="19" t="s">
        <v>23</v>
      </c>
      <c r="E19" s="20" t="s">
        <v>12</v>
      </c>
      <c r="F19" s="24" t="s">
        <v>54</v>
      </c>
      <c r="G19" s="26" t="s">
        <v>52</v>
      </c>
      <c r="H19" s="25" t="s">
        <v>65</v>
      </c>
      <c r="I19" s="21">
        <v>2024</v>
      </c>
      <c r="J19" s="28">
        <v>587317.76000000001</v>
      </c>
      <c r="K19" s="22">
        <v>45991</v>
      </c>
      <c r="L19" s="101"/>
      <c r="M19" s="27" t="s">
        <v>53</v>
      </c>
      <c r="N19" s="21" t="s">
        <v>4</v>
      </c>
      <c r="O19" s="33"/>
      <c r="P19" s="66">
        <v>578480.76</v>
      </c>
      <c r="Q19" s="59">
        <v>8837</v>
      </c>
      <c r="R19" s="59"/>
      <c r="S19" s="59"/>
      <c r="T19" s="59"/>
      <c r="U19" s="59"/>
      <c r="V19" s="59"/>
      <c r="W19" s="59"/>
      <c r="X19" s="59"/>
      <c r="Y19" s="59">
        <f t="shared" si="1"/>
        <v>587317.76000000001</v>
      </c>
      <c r="Z19" s="67">
        <f t="shared" si="0"/>
        <v>0</v>
      </c>
      <c r="AB19" s="82">
        <v>40.785200000000003</v>
      </c>
      <c r="AC19" s="73">
        <v>40.785200000000003</v>
      </c>
      <c r="AD19" s="74">
        <f t="shared" si="2"/>
        <v>0</v>
      </c>
      <c r="AE19" s="73">
        <f t="shared" si="3"/>
        <v>40.785200000000003</v>
      </c>
      <c r="AF19" s="73">
        <f>(57248+60000+40000+67000+42000+19000+40000+82604)/10000</f>
        <v>40.785200000000003</v>
      </c>
      <c r="AG19" s="83">
        <f t="shared" si="4"/>
        <v>0</v>
      </c>
    </row>
    <row r="20" spans="1:33" ht="56.25" x14ac:dyDescent="0.25">
      <c r="A20" s="16">
        <v>13</v>
      </c>
      <c r="B20" s="17" t="s">
        <v>6</v>
      </c>
      <c r="C20" s="18" t="s">
        <v>1</v>
      </c>
      <c r="D20" s="19" t="s">
        <v>23</v>
      </c>
      <c r="E20" s="20" t="s">
        <v>12</v>
      </c>
      <c r="F20" s="24" t="s">
        <v>96</v>
      </c>
      <c r="G20" s="26" t="s">
        <v>61</v>
      </c>
      <c r="H20" s="25" t="s">
        <v>84</v>
      </c>
      <c r="I20" s="21">
        <v>2023</v>
      </c>
      <c r="J20" s="28">
        <v>138152.39000000001</v>
      </c>
      <c r="K20" s="22">
        <v>45991</v>
      </c>
      <c r="L20" s="101"/>
      <c r="M20" s="27" t="s">
        <v>63</v>
      </c>
      <c r="N20" s="21" t="s">
        <v>4</v>
      </c>
      <c r="O20" s="33"/>
      <c r="P20" s="66">
        <v>125710</v>
      </c>
      <c r="Q20" s="59">
        <f>3781+718.39</f>
        <v>4499.3900000000003</v>
      </c>
      <c r="R20" s="59"/>
      <c r="S20" s="59"/>
      <c r="T20" s="59"/>
      <c r="U20" s="59"/>
      <c r="V20" s="59"/>
      <c r="W20" s="59"/>
      <c r="X20" s="59">
        <v>7943</v>
      </c>
      <c r="Y20" s="59">
        <f t="shared" si="1"/>
        <v>138152.39000000001</v>
      </c>
      <c r="Z20" s="67">
        <f t="shared" si="0"/>
        <v>0</v>
      </c>
      <c r="AB20" s="82">
        <v>9.7035999999999998</v>
      </c>
      <c r="AC20" s="73">
        <f>97036/10000</f>
        <v>9.7035999999999998</v>
      </c>
      <c r="AD20" s="74">
        <f t="shared" si="2"/>
        <v>0</v>
      </c>
      <c r="AE20" s="73">
        <f t="shared" si="3"/>
        <v>9.7035999999999998</v>
      </c>
      <c r="AF20" s="73">
        <f>97036/10000</f>
        <v>9.7035999999999998</v>
      </c>
      <c r="AG20" s="83">
        <f t="shared" si="4"/>
        <v>0</v>
      </c>
    </row>
    <row r="21" spans="1:33" ht="33.75" customHeight="1" x14ac:dyDescent="0.25">
      <c r="A21" s="16">
        <v>14</v>
      </c>
      <c r="B21" s="17" t="s">
        <v>6</v>
      </c>
      <c r="C21" s="18" t="s">
        <v>1</v>
      </c>
      <c r="D21" s="19" t="s">
        <v>23</v>
      </c>
      <c r="E21" s="20" t="s">
        <v>32</v>
      </c>
      <c r="F21" s="24" t="s">
        <v>59</v>
      </c>
      <c r="G21" s="26" t="s">
        <v>57</v>
      </c>
      <c r="H21" s="25" t="s">
        <v>83</v>
      </c>
      <c r="I21" s="21">
        <v>2024</v>
      </c>
      <c r="J21" s="28">
        <v>155355</v>
      </c>
      <c r="K21" s="22">
        <v>45991</v>
      </c>
      <c r="L21" s="101"/>
      <c r="M21" s="27" t="s">
        <v>58</v>
      </c>
      <c r="N21" s="21" t="s">
        <v>4</v>
      </c>
      <c r="O21" s="33"/>
      <c r="P21" s="66">
        <v>150000</v>
      </c>
      <c r="Q21" s="59">
        <v>5355</v>
      </c>
      <c r="R21" s="59"/>
      <c r="S21" s="59"/>
      <c r="T21" s="59"/>
      <c r="U21" s="59"/>
      <c r="V21" s="59"/>
      <c r="W21" s="59"/>
      <c r="X21" s="59"/>
      <c r="Y21" s="59">
        <f t="shared" si="1"/>
        <v>155355</v>
      </c>
      <c r="Z21" s="67">
        <f t="shared" si="0"/>
        <v>0</v>
      </c>
      <c r="AB21" s="82">
        <v>10.5223</v>
      </c>
      <c r="AC21" s="73">
        <f>105223/10000</f>
        <v>10.5223</v>
      </c>
      <c r="AD21" s="74">
        <f t="shared" si="2"/>
        <v>0</v>
      </c>
      <c r="AE21" s="73">
        <f t="shared" si="3"/>
        <v>10.5223</v>
      </c>
      <c r="AF21" s="73">
        <f>105223/10000</f>
        <v>10.5223</v>
      </c>
      <c r="AG21" s="83">
        <f t="shared" si="4"/>
        <v>0</v>
      </c>
    </row>
    <row r="22" spans="1:33" ht="73.5" customHeight="1" thickBot="1" x14ac:dyDescent="0.3">
      <c r="A22" s="89">
        <v>15</v>
      </c>
      <c r="B22" s="90" t="s">
        <v>6</v>
      </c>
      <c r="C22" s="91" t="s">
        <v>1</v>
      </c>
      <c r="D22" s="48" t="s">
        <v>23</v>
      </c>
      <c r="E22" s="47" t="s">
        <v>32</v>
      </c>
      <c r="F22" s="92" t="s">
        <v>60</v>
      </c>
      <c r="G22" s="93" t="s">
        <v>55</v>
      </c>
      <c r="H22" s="30" t="s">
        <v>62</v>
      </c>
      <c r="I22" s="94">
        <v>2024</v>
      </c>
      <c r="J22" s="49">
        <v>196272.5</v>
      </c>
      <c r="K22" s="95">
        <v>45991</v>
      </c>
      <c r="L22" s="101"/>
      <c r="M22" s="96" t="s">
        <v>56</v>
      </c>
      <c r="N22" s="94" t="s">
        <v>4</v>
      </c>
      <c r="O22" s="33"/>
      <c r="P22" s="68">
        <v>193000</v>
      </c>
      <c r="Q22" s="69">
        <v>3272.5</v>
      </c>
      <c r="R22" s="69"/>
      <c r="S22" s="69"/>
      <c r="T22" s="69"/>
      <c r="U22" s="69"/>
      <c r="V22" s="69"/>
      <c r="W22" s="69"/>
      <c r="X22" s="69"/>
      <c r="Y22" s="69">
        <f t="shared" si="1"/>
        <v>196272.5</v>
      </c>
      <c r="Z22" s="70">
        <f t="shared" si="0"/>
        <v>0</v>
      </c>
      <c r="AB22" s="85">
        <v>29.55</v>
      </c>
      <c r="AC22" s="86">
        <f>295500/10000</f>
        <v>29.55</v>
      </c>
      <c r="AD22" s="87">
        <f t="shared" si="2"/>
        <v>0</v>
      </c>
      <c r="AE22" s="86">
        <f t="shared" si="3"/>
        <v>29.55</v>
      </c>
      <c r="AF22" s="86">
        <f>295500/10000</f>
        <v>29.55</v>
      </c>
      <c r="AG22" s="88">
        <f t="shared" si="4"/>
        <v>0</v>
      </c>
    </row>
    <row r="23" spans="1:33" ht="15.75" thickBot="1" x14ac:dyDescent="0.3">
      <c r="A23" s="102" t="s">
        <v>2</v>
      </c>
      <c r="B23" s="103"/>
      <c r="C23" s="103"/>
      <c r="D23" s="103"/>
      <c r="E23" s="103"/>
      <c r="F23" s="103"/>
      <c r="G23" s="103"/>
      <c r="H23" s="103"/>
      <c r="I23" s="104"/>
      <c r="J23" s="97">
        <f>SUM(J8:J22)</f>
        <v>3227446.43</v>
      </c>
      <c r="K23" s="105"/>
      <c r="L23" s="106"/>
      <c r="M23" s="106"/>
      <c r="N23" s="107"/>
      <c r="O23" s="34"/>
      <c r="P23" s="53"/>
    </row>
  </sheetData>
  <mergeCells count="18">
    <mergeCell ref="A23:I23"/>
    <mergeCell ref="K23:N23"/>
    <mergeCell ref="I5:I6"/>
    <mergeCell ref="J5:J6"/>
    <mergeCell ref="K5:K6"/>
    <mergeCell ref="L5:L6"/>
    <mergeCell ref="M5:N5"/>
    <mergeCell ref="L8:L22"/>
    <mergeCell ref="A2:N2"/>
    <mergeCell ref="A3:N3"/>
    <mergeCell ref="A5:A6"/>
    <mergeCell ref="B5:B6"/>
    <mergeCell ref="C5:C6"/>
    <mergeCell ref="D5:D6"/>
    <mergeCell ref="E5:E6"/>
    <mergeCell ref="F5:F6"/>
    <mergeCell ref="G5:G6"/>
    <mergeCell ref="H5:H6"/>
  </mergeCells>
  <conditionalFormatting sqref="Z1:Z1048576 AD1:AD1048576 AG1:AG1048576">
    <cfRule type="cellIs" dxfId="1" priority="1" operator="lessThan">
      <formula>0</formula>
    </cfRule>
    <cfRule type="cellIs" dxfId="0" priority="2" operator="greaterThan">
      <formula>0</formula>
    </cfRule>
  </conditionalFormatting>
  <pageMargins left="0.11811023622047245" right="0.19685039370078741" top="0.19685039370078741" bottom="0.15748031496062992" header="0" footer="0.19685039370078741"/>
  <pageSetup paperSize="8" scale="60" fitToHeight="0" orientation="landscape" r:id="rId1"/>
  <headerFooter>
    <oddHeader xml:space="preserve">&amp;C
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inscriere</vt:lpstr>
      <vt:lpstr>detalierea</vt:lpstr>
      <vt:lpstr>detalierea!Zona_de_imprimat</vt:lpstr>
      <vt:lpstr>inscriere!Zona_de_imprimat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VLAD</dc:creator>
  <cp:lastModifiedBy>Ciprian Mocan</cp:lastModifiedBy>
  <cp:lastPrinted>2026-08-05T14:27:35Z</cp:lastPrinted>
  <dcterms:created xsi:type="dcterms:W3CDTF">2022-08-18T08:50:01Z</dcterms:created>
  <dcterms:modified xsi:type="dcterms:W3CDTF">2026-08-05T14:31:12Z</dcterms:modified>
</cp:coreProperties>
</file>