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7110" yWindow="375" windowWidth="15480" windowHeight="9060" tabRatio="579" activeTab="0"/>
  </bookViews>
  <sheets>
    <sheet name="a_Contents" sheetId="1" r:id="rId1"/>
    <sheet name="b_Guidelines &amp; conditions" sheetId="2" r:id="rId2"/>
    <sheet name="A_InstallationData" sheetId="3" r:id="rId3"/>
    <sheet name="B_InitialSituation" sheetId="4" r:id="rId4"/>
    <sheet name="C_MergerSplitTransfer" sheetId="5" r:id="rId5"/>
    <sheet name="D_Summary" sheetId="6" r:id="rId6"/>
    <sheet name="I_MSspecific" sheetId="7" r:id="rId7"/>
    <sheet name="J_Comments" sheetId="8" r:id="rId8"/>
    <sheet name="EUwideConstants" sheetId="9" state="hidden" r:id="rId9"/>
    <sheet name="MSParameters" sheetId="10" state="hidden" r:id="rId10"/>
    <sheet name="Translations" sheetId="11" state="hidden" r:id="rId11"/>
    <sheet name="VersionDocumentation" sheetId="12" state="hidden" r:id="rId12"/>
  </sheets>
  <definedNames>
    <definedName name="_xlnm._FilterDatabase" localSheetId="10" hidden="1">'Translations'!$A$1:$C$1491</definedName>
    <definedName name="CNTR_AnnexIActivities">'A_InstallationData'!$Q$105:$Q$109</definedName>
    <definedName name="CNTR_ConnectionEntityList">'A_InstallationData'!$H$273:$H$282</definedName>
    <definedName name="CNTR_ConnectionEntityListCITL_IDs">'A_InstallationData'!$J$273:$J$282</definedName>
    <definedName name="CNTR_ConnectionEntityListTypes">'A_InstallationData'!$K$273:$K$282</definedName>
    <definedName name="CNTR_ConnectionListAndWithinInst">'A_InstallationData'!$H$272:$H$282</definedName>
    <definedName name="CNTR_ExistConnectionEntries">'A_InstallationData'!$G$285</definedName>
    <definedName name="CNTR_HasEntries_A_I">'A_InstallationData'!$G$263</definedName>
    <definedName name="CNTR_HasEntries_A_II">'A_InstallationData'!$G$264</definedName>
    <definedName name="CNTR_Merger">'A_InstallationData'!$Q$13</definedName>
    <definedName name="CNTR_MissingData">'EUwideConstants'!$I$302:$I$307</definedName>
    <definedName name="CNTR_OnlyCombustion">'A_InstallationData'!$S$105</definedName>
    <definedName name="CNTR_TemplateVersion">'a_Contents'!$H$33</definedName>
    <definedName name="CNTR_UniqueID">'A_InstallationData'!$J$52</definedName>
    <definedName name="CNTR_YearMergerSplit">'A_InstallationData'!$Q$15</definedName>
    <definedName name="_xlnm.Print_Area" localSheetId="0">'a_Contents'!$B$6:$L$47</definedName>
    <definedName name="_xlnm.Print_Area" localSheetId="2">'A_InstallationData'!$C$5:$N$186</definedName>
    <definedName name="_xlnm.Print_Area" localSheetId="1">'b_Guidelines &amp; conditions'!$B$5:$L$103</definedName>
    <definedName name="_xlnm.Print_Area" localSheetId="6">'I_MSspecific'!$A$4:$M$29</definedName>
    <definedName name="_xlnm.Print_Area" localSheetId="7">'J_Comments'!$A$4:$M$40</definedName>
    <definedName name="_xlnm.Print_Area" localSheetId="11">'VersionDocumentation'!$A$1:$E$89</definedName>
    <definedName name="EUconst_182CUF">'EUwideConstants'!$B$115</definedName>
    <definedName name="EUconst_30DayOrCalendarMonth">'EUwideConstants'!$B$66:$C$66</definedName>
    <definedName name="EUconst_AbsRel">'EUwideConstants'!$B$6:$C$6</definedName>
    <definedName name="EUconst_AdjF">'EUwideConstants'!$B$117</definedName>
    <definedName name="EUconst_AllocPrelim2013">'EUwideConstants'!$B$139</definedName>
    <definedName name="EUconst_Allowances">'EUwideConstants'!$B$90</definedName>
    <definedName name="EUconst_AllSubInstList">'EUwideConstants'!$E$315:$E$372</definedName>
    <definedName name="EUconst_AnnexIActivities">'EUwideConstants'!$B$214:$B$241</definedName>
    <definedName name="EUconst_ApplicationType">'EUwideConstants'!$B$59:$D$59</definedName>
    <definedName name="EUconst_BaselinePeriods">'EUwideConstants'!$B$3:$C$3</definedName>
    <definedName name="EUconst_BM">'EUwideConstants'!$B$15</definedName>
    <definedName name="EUconst_BMlist107">'EUwideConstants'!$E$273:$E$275</definedName>
    <definedName name="EUconst_BMlistBMvalues">'EUwideConstants'!$H$247:$H$298</definedName>
    <definedName name="EUconst_BMlistCLstatus">'EUwideConstants'!$G$247:$G$298</definedName>
    <definedName name="EUconst_BMlistElExchangability">'EUwideConstants'!$I$247:$I$298</definedName>
    <definedName name="EUconst_BMlistMatrix">'EUwideConstants'!$E$247:$I$298</definedName>
    <definedName name="EUconst_BMlistNames">'EUwideConstants'!$E$247:$E$298</definedName>
    <definedName name="EUconst_BMlistNumberOfActivity">'EUwideConstants'!$B$247:$B$298</definedName>
    <definedName name="EUconst_BMlistNumberOfBM">'EUwideConstants'!$C$247:$C$298</definedName>
    <definedName name="EUconst_BMlistSCUFvalues">'EUwideConstants'!$L$247:$L$298</definedName>
    <definedName name="EUconst_BMlistSpecialJumpTable">'EUwideConstants'!$K$247:$K$298</definedName>
    <definedName name="EUconst_BMlistSpecialReporting">'EUwideConstants'!$J$247:$J$298</definedName>
    <definedName name="EUconst_BMlistUnits">'EUwideConstants'!$F$247:$F$298</definedName>
    <definedName name="EUconst_BMSubinst">'EUwideConstants'!$B$23</definedName>
    <definedName name="EUconst_CapacityInitial">'EUwideConstants'!$B$130</definedName>
    <definedName name="Euconst_CapacitySource">'EUwideConstants'!$B$164:$G$164</definedName>
    <definedName name="EUconst_CEMSSource">'EUwideConstants'!$B$19</definedName>
    <definedName name="Euconst_CessationReason">'EUwideConstants'!$B$165:$F$165</definedName>
    <definedName name="EUconst_ChangeType">'EUwideConstants'!$B$62:$G$62</definedName>
    <definedName name="EUconst_ChangeType0">'EUwideConstants'!$B$61:$F$61</definedName>
    <definedName name="EUconst_ChangeType1">'EUwideConstants'!$B$63:$E$63</definedName>
    <definedName name="EUconst_CLnonCL">'EUwideConstants'!$B$81:$C$81</definedName>
    <definedName name="EUconst_CNTR_CAP">'EUwideConstants'!$B$103</definedName>
    <definedName name="EUconst_CNTR_CAP2Months">'EUwideConstants'!$B$104</definedName>
    <definedName name="EUconst_CNTR_CAPDelta">'EUwideConstants'!$B$107</definedName>
    <definedName name="EUconst_CNTR_CAPINI">'EUwideConstants'!$B$105</definedName>
    <definedName name="EUconst_CNTR_CAPNEW">'EUwideConstants'!$B$106</definedName>
    <definedName name="EUconst_CNTR_Check10Pct">'EUwideConstants'!$B$108</definedName>
    <definedName name="EUconst_CNTR_Check5Pct">'EUwideConstants'!$B$109</definedName>
    <definedName name="EUconst_CNTR_DesignCAP">'EUwideConstants'!$B$102</definedName>
    <definedName name="EUconst_CNTR_ELEXCH">'EUwideConstants'!$B$122</definedName>
    <definedName name="EUconst_CNTR_EmiBeforeStart">'EUwideConstants'!$B$100</definedName>
    <definedName name="EUconst_CNTR_Finitial">'EUwideConstants'!$B$101</definedName>
    <definedName name="EUconst_CNTR_HAL">'EUwideConstants'!$B$120</definedName>
    <definedName name="EUconst_CNTR_HALAdded">'EUwideConstants'!$B$110</definedName>
    <definedName name="EUconst_CNTR_HALspecial">'EUwideConstants'!$B$121</definedName>
    <definedName name="EUconst_CNTR_HEAT">'EUwideConstants'!$B$125</definedName>
    <definedName name="EUconst_CNTR_HVC">'EUwideConstants'!$B$127</definedName>
    <definedName name="EUconst_CNTR_nonETSMeasHeat">'EUwideConstants'!$B$155</definedName>
    <definedName name="EUconst_CNTR_PartCessALini">'EUwideConstants'!$B$111</definedName>
    <definedName name="EUconst_CNTR_PartCessAllocIni">'EUwideConstants'!$B$113</definedName>
    <definedName name="EUconst_CNTR_PartCessAllocLini">'EUwideConstants'!$B$113</definedName>
    <definedName name="EUconst_CNTR_PartCessALnew">'EUwideConstants'!$B$112</definedName>
    <definedName name="EUconst_CNTR_PeriodGreenfield">'EUwideConstants'!$B$114</definedName>
    <definedName name="EUconst_CNTR_PulpPaper">'EUwideConstants'!$B$123</definedName>
    <definedName name="EUconst_CNTR_SIG">'EUwideConstants'!$B$124</definedName>
    <definedName name="EUconst_CNTR_VCM">'EUwideConstants'!$B$126</definedName>
    <definedName name="EUconst_CombustionActivity">'EUwideConstants'!$B$214</definedName>
    <definedName name="EUconst_ConfirmAllowUseOfData">'EUwideConstants'!$B$93</definedName>
    <definedName name="EUconst_ConfirmApplicationForAlloc">'EUwideConstants'!$B$92:$B$92</definedName>
    <definedName name="EUconst_ConfirmationNotEligible">'EUwideConstants'!$B$91:$B$91</definedName>
    <definedName name="EUconst_ConfirmCessation">'EUwideConstants'!$B$94</definedName>
    <definedName name="EUconst_ConfirmMergerSplit">'EUwideConstants'!$B$208</definedName>
    <definedName name="EUconst_ConnectedEntityTypes">'EUwideConstants'!$B$67:$E$67</definedName>
    <definedName name="EUconst_ConnectionShortTypes">'EUwideConstants'!$B$69:$D$69</definedName>
    <definedName name="EUconst_ConnectionTransferTypes">'EUwideConstants'!$B$70:$C$70</definedName>
    <definedName name="EUconst_ConnectionTypes">'EUwideConstants'!$B$68:$D$68</definedName>
    <definedName name="EUconst_CWTpa">'EUwideConstants'!$B$89</definedName>
    <definedName name="EUconst_DateMissing">'EUwideConstants'!$B$146</definedName>
    <definedName name="EUconst_ElBM">'EUwideConstants'!$B$76</definedName>
    <definedName name="EUconst_ERR_40pct">'EUwideConstants'!$B$169</definedName>
    <definedName name="EUconst_ERR_ActivityMissing">'EUwideConstants'!$B$197</definedName>
    <definedName name="EUconst_ERR_Capacity0.9">'EUwideConstants'!$B$168</definedName>
    <definedName name="EUconst_ERR_Capacity1.1">'EUwideConstants'!$B$167</definedName>
    <definedName name="EUconst_ERR_CessationIteme">'EUwideConstants'!$B$177</definedName>
    <definedName name="EUconst_ERR_DatesBeforeJuly2011">'EUwideConstants'!$B$195</definedName>
    <definedName name="EUconst_ERR_DatesSorting">'EUwideConstants'!$B$193</definedName>
    <definedName name="EUconst_ERR_DoubleBMentry">'EUwideConstants'!$B$178</definedName>
    <definedName name="EUconst_ERR_FirstSub">'EUwideConstants'!$B$170</definedName>
    <definedName name="EUconst_ERR_Goto_DI2">'EUwideConstants'!$B$183</definedName>
    <definedName name="EUconst_ERR_InitialDateMissing">'EUwideConstants'!$B$196</definedName>
    <definedName name="EUconst_ERR_Mandatory_abd">'EUwideConstants'!$B$173</definedName>
    <definedName name="EUconst_ERR_Mandatory_ApplicationType">'EUwideConstants'!$B$172</definedName>
    <definedName name="EUconst_ERR_Mandatory_Bbc">'EUwideConstants'!$B$181</definedName>
    <definedName name="EUconst_ERR_Mandatory_ef">'EUwideConstants'!$B$174</definedName>
    <definedName name="EUconst_ERR_Mandatory_g">'EUwideConstants'!$B$175</definedName>
    <definedName name="EUconst_ERR_MandatoryDII3a">'EUwideConstants'!$B$185</definedName>
    <definedName name="EUconst_ERR_MandatoryEII4">'EUwideConstants'!$B$184</definedName>
    <definedName name="EUconst_ERR_MissingFallBackEntry">'EUwideConstants'!$B$180</definedName>
    <definedName name="EUconst_ERR_MissingSubInstEntry">'EUwideConstants'!$B$179</definedName>
    <definedName name="EUconst_ERR_NewSub">'EUwideConstants'!$B$171</definedName>
    <definedName name="EUconst_ERR_NoSignificantChange">'EUwideConstants'!$B$176</definedName>
    <definedName name="EUconst_ERR_PartialCessation">'EUwideConstants'!$B$166</definedName>
    <definedName name="EUconst_ERR_RangeOfStartingDate">'EUwideConstants'!$B$194</definedName>
    <definedName name="EUconst_ERR_StartWithFuels">'EUwideConstants'!$B$182</definedName>
    <definedName name="EUconst_Error">'EUwideConstants'!$B$138</definedName>
    <definedName name="EUconst_EUA">'EUwideConstants'!$B$11</definedName>
    <definedName name="EUconst_EUApa">'EUwideConstants'!$B$38</definedName>
    <definedName name="EUconst_EUApt">'EUwideConstants'!$B$39</definedName>
    <definedName name="EUconst_Experimental">'EUwideConstants'!$B$162</definedName>
    <definedName name="EUconst_FallBackListBMvalues">'EUwideConstants'!$H$302:$H$307</definedName>
    <definedName name="EUconst_FallBackListCLstatus">'EUwideConstants'!$G$302:$G$307</definedName>
    <definedName name="EUconst_FallBackListMatrix">'EUwideConstants'!$E$302:$I$307</definedName>
    <definedName name="EUconst_FallBackListNames">'EUwideConstants'!$E$302:$E$307</definedName>
    <definedName name="EUconst_FallBackListNumber">'EUwideConstants'!$C$302:$C$307</definedName>
    <definedName name="EUconst_FallBackListUnits">'EUwideConstants'!$F$302:$F$307</definedName>
    <definedName name="EUconst_FBSubinst">'EUwideConstants'!$B$24</definedName>
    <definedName name="EUconst_Fuel">'EUwideConstants'!$B$14</definedName>
    <definedName name="EUconst_FuelBMvalue">'EUwideConstants'!$B$77</definedName>
    <definedName name="EUconst_FuelUseTypes">'EUwideConstants'!$B$73:$E$73</definedName>
    <definedName name="EUconst_GJ">'EUwideConstants'!$B$29</definedName>
    <definedName name="EUconst_GJpa">'EUwideConstants'!$B$41</definedName>
    <definedName name="EUconst_GJperTorKNm3">'EUwideConstants'!$B$84:$C$84</definedName>
    <definedName name="EUconst_GJperUnit">'EUwideConstants'!$B$87</definedName>
    <definedName name="EUconst_GJpt">'EUwideConstants'!$B$40</definedName>
    <definedName name="EUconst_HAL96capacity">'EUwideConstants'!$B$128</definedName>
    <definedName name="EUconst_HAL96RCUF">'EUwideConstants'!$B$129</definedName>
    <definedName name="EUconst_HAL99changed">'EUwideConstants'!$B$134</definedName>
    <definedName name="EUconst_HAL99deltaC">'EUwideConstants'!$B$133</definedName>
    <definedName name="EUconst_HAL99initial">'EUwideConstants'!$B$131</definedName>
    <definedName name="EUconst_HAL99total">'EUwideConstants'!$B$135</definedName>
    <definedName name="EUconst_HAL99unchanged">'EUwideConstants'!$B$132</definedName>
    <definedName name="EUconst_HALsum">'EUwideConstants'!$B$136</definedName>
    <definedName name="EUconst_HCUF">'EUwideConstants'!$B$137</definedName>
    <definedName name="EUconst_HCUFmissing">'EUwideConstants'!$B$148</definedName>
    <definedName name="EUconst_HCUFrange">'EUwideConstants'!$B$150</definedName>
    <definedName name="EUconst_HeatBMvalue">'EUwideConstants'!$B$75</definedName>
    <definedName name="EUconst_HeatToolComplex">'EUwideConstants'!$B$159</definedName>
    <definedName name="EUconst_HeatToolSelection">'EUwideConstants'!$B$160:$C$160</definedName>
    <definedName name="EUconst_HeatToolSimple">'EUwideConstants'!$B$158</definedName>
    <definedName name="EUconst_HeatUseTypes">'EUwideConstants'!$B$72:$F$72</definedName>
    <definedName name="EUconst_HouseholdReportMethods">'EUwideConstants'!$B$141:$C$141</definedName>
    <definedName name="EUconst_Households">'EUwideConstants'!$B$154</definedName>
    <definedName name="EUconst_Incomplete">'EUwideConstants'!$B$142</definedName>
    <definedName name="EUconst_Inconsistent">'EUwideConstants'!$B$144</definedName>
    <definedName name="EUconst_kNm3pa">'EUwideConstants'!$B$82</definedName>
    <definedName name="EUconst_LatestChange">'EUwideConstants'!$B$161</definedName>
    <definedName name="EUconst_Manual">'EUwideConstants'!$B$147</definedName>
    <definedName name="EUconst_MBSource">'EUwideConstants'!$B$18</definedName>
    <definedName name="EUconst_min">'EUwideConstants'!$B$48</definedName>
    <definedName name="EUconst_minpcelld">'EUwideConstants'!$B$49</definedName>
    <definedName name="EUconst_MNm3pa">'EUwideConstants'!$B$88</definedName>
    <definedName name="EUconst_Month">'EUwideConstants'!$B$13</definedName>
    <definedName name="EUconst_MsgApplyArt96">'EUwideConstants'!$B$204</definedName>
    <definedName name="EUconst_MsgBackToSheetF">'EUwideConstants'!$B$201</definedName>
    <definedName name="EUconst_MsgEnterThisSection">'EUwideConstants'!$B$198</definedName>
    <definedName name="EUconst_MsgGoOn">'EUwideConstants'!$B$189</definedName>
    <definedName name="EUconst_MsgGoOn_cd">'EUwideConstants'!$B$202</definedName>
    <definedName name="EUconst_MsgGoOn_d">'EUwideConstants'!$B$191</definedName>
    <definedName name="EUconst_MsgGoOn_e">'EUwideConstants'!$B$203</definedName>
    <definedName name="EUconst_MsgGoOnIfNotRelevant">'EUwideConstants'!$B$192</definedName>
    <definedName name="EUconst_MsgGoToNextSheet">'EUwideConstants'!$B$199</definedName>
    <definedName name="EUconst_MsgGoToNextSubInst">'EUwideConstants'!$B$200</definedName>
    <definedName name="EUconst_MsgNewEntrant">'EUwideConstants'!$B$60</definedName>
    <definedName name="EUConst_MsgPartCessCritFulfilled">'EUwideConstants'!$B$119</definedName>
    <definedName name="EUconst_MsgProceedEII2">'EUwideConstants'!$B$188</definedName>
    <definedName name="EUconst_MsgProceedF">'EUwideConstants'!$B$187</definedName>
    <definedName name="EUconst_MsgSeeFirst">'EUwideConstants'!$B$186</definedName>
    <definedName name="EUconst_MsgUseElExchTool">'EUwideConstants'!$B$190</definedName>
    <definedName name="EUconst_MSlist">'EUwideConstants'!$B$156:$AF$156</definedName>
    <definedName name="EUconst_MSlistISOcodes">'EUwideConstants'!$B$157:$AF$157</definedName>
    <definedName name="EUconst_mV">'EUwideConstants'!$B$51</definedName>
    <definedName name="EUconst_MWh">'EUwideConstants'!$B$34</definedName>
    <definedName name="EUconst_MWhpa">'EUwideConstants'!$B$35</definedName>
    <definedName name="EUconst_N2OSource">'EUwideConstants'!$B$20</definedName>
    <definedName name="EUconst_NA">'EUwideConstants'!$B$10</definedName>
    <definedName name="EUconst_Negative">'EUwideConstants'!$B$143</definedName>
    <definedName name="EUconst_NormalOrChanged">'EUwideConstants'!$B$65:$C$65</definedName>
    <definedName name="EUconst_NotEligible">'EUwideConstants'!$B$153</definedName>
    <definedName name="EUconst_NotRelevant">'EUwideConstants'!$B$79</definedName>
    <definedName name="EUconst_OK">'EUwideConstants'!$B$145</definedName>
    <definedName name="EUconst_Or">'EUwideConstants'!$B$55</definedName>
    <definedName name="EUconst_PartCessAdjF">'EUwideConstants'!$F$310:$F$313</definedName>
    <definedName name="EUconst_PartCessALred">'EUwideConstants'!$E$310:$E$313</definedName>
    <definedName name="EUconst_PartCessMessage">'EUwideConstants'!$G$310:$G$313</definedName>
    <definedName name="EUConst_PartCessYear">'EUwideConstants'!$B$118</definedName>
    <definedName name="EUconst_PFCmethods">'EUwideConstants'!$B$140:$C$140</definedName>
    <definedName name="EUconst_PFCSource">'EUwideConstants'!$B$21</definedName>
    <definedName name="EUconst_PointA">'EUwideConstants'!$B$163</definedName>
    <definedName name="EUconst_PrivateHouseholds">'EUwideConstants'!$B$8</definedName>
    <definedName name="EUconst_ProcessEmissionTypes">'EUwideConstants'!$B$74:$J$74</definedName>
    <definedName name="EUconst_ProcessSource">'EUwideConstants'!$B$17</definedName>
    <definedName name="EUconst_PulpPlacedOnMarket">'EUwideConstants'!$B$205</definedName>
    <definedName name="EUconst_RatioRange">'EUwideConstants'!$B$152</definedName>
    <definedName name="EUconst_RCUFmissing">'EUwideConstants'!$B$149</definedName>
    <definedName name="EUconst_RCUFrange">'EUwideConstants'!$B$151</definedName>
    <definedName name="EUconst_Relevant">'EUwideConstants'!$B$78</definedName>
    <definedName name="EUconst_RelevantAmountPulp">'EUwideConstants'!$B$206</definedName>
    <definedName name="EUconst_RelevantNotRelevant">'EUwideConstants'!$B$80:$C$80</definedName>
    <definedName name="EUconst_relOrMWhpa">'EUwideConstants'!$B$57</definedName>
    <definedName name="EUconst_relOrtCO2pa">'EUwideConstants'!$B$58</definedName>
    <definedName name="EUconst_relOrTJpa">'EUwideConstants'!$B$56</definedName>
    <definedName name="EUconst_ReportingYears">'EUwideConstants'!$B$2:$J$2</definedName>
    <definedName name="EUconst_StartDate">'EUwideConstants'!$B$116</definedName>
    <definedName name="EUconst_SubInst17">'EUwideConstants'!$B$64:$C$64</definedName>
    <definedName name="EUconst_SubInstallation">'EUwideConstants'!$B$16</definedName>
    <definedName name="EUconst_SumBioCO2">'EUwideConstants'!$B$96</definedName>
    <definedName name="EUconst_SumCO2">'EUwideConstants'!$B$95</definedName>
    <definedName name="EUconst_SumEnergyIN">'EUwideConstants'!$B$97</definedName>
    <definedName name="EUconst_SumN2O">'EUwideConstants'!$B$98</definedName>
    <definedName name="EUconst_SumPFC">'EUwideConstants'!$B$99</definedName>
    <definedName name="EUconst_t">'EUwideConstants'!$B$36</definedName>
    <definedName name="EUconst_tCO2">'EUwideConstants'!$B$31</definedName>
    <definedName name="EUconst_tCO2e">'EUwideConstants'!$B$30</definedName>
    <definedName name="EUconst_tCO2epa">'EUwideConstants'!$B$47</definedName>
    <definedName name="EUconst_tCO2ept">'EUwideConstants'!$B$54</definedName>
    <definedName name="EUconst_tCO2eptN2O">'EUwideConstants'!$B$46</definedName>
    <definedName name="EUconst_tCO2pa">'EUwideConstants'!$B$43</definedName>
    <definedName name="EUconst_tCO2pkNm3">'EUwideConstants'!$B$86</definedName>
    <definedName name="EUconst_tCO2pt">'EUwideConstants'!$B$44</definedName>
    <definedName name="EUconst_tCO2pTJ">'EUwideConstants'!$B$42</definedName>
    <definedName name="EUconst_tCO2pTJorT">'EUwideConstants'!$B$85:$D$85</definedName>
    <definedName name="EUconst_TJ">'EUwideConstants'!$B$28</definedName>
    <definedName name="EUconst_TJpa">'EUwideConstants'!$B$33</definedName>
    <definedName name="EUconst_tN2O">'EUwideConstants'!$B$32</definedName>
    <definedName name="EUconst_tN2Opa">'EUwideConstants'!$B$45</definedName>
    <definedName name="EUconst_TonnesOrkNm3pa">'EUwideConstants'!$B$83:$C$83</definedName>
    <definedName name="EUconst_Tons">'EUwideConstants'!$B$27</definedName>
    <definedName name="EUconst_TotAdded">'EUwideConstants'!$B$7:$C$7</definedName>
    <definedName name="EUconst_TotFreeAlloc">'EUwideConstants'!$B$9</definedName>
    <definedName name="EUconst_tpa">'EUwideConstants'!$B$37</definedName>
    <definedName name="EUconst_TransfSource">'EUwideConstants'!$B$22</definedName>
    <definedName name="Euconst_TrueFalse">'EUwideConstants'!$B$4:$C$4</definedName>
    <definedName name="Euconst_TrueFalseNA">'EUwideConstants'!$B$5:$D$5</definedName>
    <definedName name="EUconst_Unit">'EUwideConstants'!$B$12</definedName>
    <definedName name="EUconst_unitOvervoltF">'EUwideConstants'!$B$52</definedName>
    <definedName name="EUconst_unitRelPFC">'EUwideConstants'!$B$53</definedName>
    <definedName name="EUconst_unitSlopeF">'EUwideConstants'!$B$50</definedName>
    <definedName name="EUconst_WithinInst">'EUwideConstants'!$B$71</definedName>
    <definedName name="EUconst_Year">'EUwideConstants'!$B$25</definedName>
    <definedName name="JUMP_A_Bottom">'A_InstallationData'!$D$255</definedName>
    <definedName name="JUMP_A_I">'A_InstallationData'!$D$30</definedName>
    <definedName name="JUMP_A_I1">'A_InstallationData'!$C$34</definedName>
    <definedName name="JUMP_A_I2">'A_InstallationData'!$B$85:$N$98</definedName>
    <definedName name="JUMP_A_I4">'A_InstallationData'!$B$100</definedName>
    <definedName name="JUMP_A_IV1">'A_InstallationData'!$C$137</definedName>
    <definedName name="JUMP_A_Top">'A_InstallationData'!$C$6</definedName>
    <definedName name="JUMP_A_VI">'A_InstallationData'!$C$135</definedName>
    <definedName name="JUMP_Coverpage_Bottom">'a_Contents'!$D$47</definedName>
    <definedName name="JUMP_Coverpage_Top">'a_Contents'!$C$6</definedName>
    <definedName name="JUMP_Guidelines_Bottom">'b_Guidelines &amp; conditions'!$C$104</definedName>
    <definedName name="JUMP_Guidelines_Home">'b_Guidelines &amp; conditions'!$C$8</definedName>
    <definedName name="JUMP_I_Bottom">'I_MSspecific'!$C$30</definedName>
    <definedName name="JUMP_I_MSspecific">'I_MSspecific'!$C$7</definedName>
    <definedName name="JUMP_I_Top">'I_MSspecific'!$B$5</definedName>
    <definedName name="JUMP_J_I">'J_Comments'!$C$7</definedName>
    <definedName name="JUMP_J_II">'J_Comments'!$C$28</definedName>
    <definedName name="JUMP_J_Top">'J_Comments'!$B$5</definedName>
    <definedName name="JUMP_TOC_Home">'a_Contents'!$B$6</definedName>
    <definedName name="MSconst_FuelCategoryList">'MSParameters'!$A$20:$A$73</definedName>
    <definedName name="MSconst_RequireConnectedInstContact">'MSParameters'!$B$3</definedName>
    <definedName name="MSconst_RequireDetailedProductionData">'MSParameters'!$B$4</definedName>
    <definedName name="MSconst_RequireDetailesFallBack">'MSParameters'!$B$5</definedName>
    <definedName name="MSconst_RequirePermitInfo">'MSParameters'!$B$2</definedName>
  </definedNames>
  <calcPr fullCalcOnLoad="1"/>
</workbook>
</file>

<file path=xl/comments12.xml><?xml version="1.0" encoding="utf-8"?>
<comments xmlns="http://schemas.openxmlformats.org/spreadsheetml/2006/main">
  <authors>
    <author>Fallmann Hubert</author>
  </authors>
  <commentList>
    <comment ref="C12" authorId="0">
      <text>
        <r>
          <rPr>
            <b/>
            <sz val="9"/>
            <rFont val="Tahoma"/>
            <family val="2"/>
          </rPr>
          <t>Originally, this was "NER application", but changed with distribution of the NE&amp;C UBA tool.</t>
        </r>
      </text>
    </comment>
    <comment ref="C11" authorId="0">
      <text>
        <r>
          <rPr>
            <b/>
            <sz val="9"/>
            <rFont val="Tahoma"/>
            <family val="2"/>
          </rPr>
          <t>Originally, this was "NER application", but changed with distribution of the NE&amp;C UBA tool.</t>
        </r>
      </text>
    </comment>
  </commentList>
</comments>
</file>

<file path=xl/comments3.xml><?xml version="1.0" encoding="utf-8"?>
<comments xmlns="http://schemas.openxmlformats.org/spreadsheetml/2006/main">
  <authors>
    <author>Fallmann Hubert</author>
  </authors>
  <commentList>
    <comment ref="H272" authorId="0">
      <text>
        <r>
          <rPr>
            <b/>
            <sz val="9"/>
            <rFont val="Tahoma"/>
            <family val="2"/>
          </rPr>
          <t>Needed for heat sub-installation, and for nitric acid</t>
        </r>
      </text>
    </comment>
  </commentList>
</comments>
</file>

<file path=xl/comments9.xml><?xml version="1.0" encoding="utf-8"?>
<comments xmlns="http://schemas.openxmlformats.org/spreadsheetml/2006/main">
  <authors>
    <author>Hubert Fallmann</author>
  </authors>
  <commentList>
    <comment ref="B131" authorId="0">
      <text>
        <r>
          <rPr>
            <b/>
            <sz val="9"/>
            <rFont val="Tahoma"/>
            <family val="2"/>
          </rPr>
          <t>Identical to HAL96_total</t>
        </r>
      </text>
    </comment>
    <comment ref="G265" authorId="0">
      <text>
        <r>
          <rPr>
            <b/>
            <sz val="9"/>
            <rFont val="Tahoma"/>
            <family val="2"/>
          </rPr>
          <t>In line with CCC vote of 19.5.2011</t>
        </r>
      </text>
    </comment>
    <comment ref="G266" authorId="0">
      <text>
        <r>
          <rPr>
            <b/>
            <sz val="9"/>
            <rFont val="Tahoma"/>
            <family val="2"/>
          </rPr>
          <t>In line with CCC vote of 19.5.2011</t>
        </r>
      </text>
    </comment>
    <comment ref="G267" authorId="0">
      <text>
        <r>
          <rPr>
            <b/>
            <sz val="9"/>
            <rFont val="Tahoma"/>
            <family val="2"/>
          </rPr>
          <t>In line with CCC vote of 19.5.2011</t>
        </r>
      </text>
    </comment>
    <comment ref="G269" authorId="0">
      <text>
        <r>
          <rPr>
            <b/>
            <sz val="9"/>
            <rFont val="Tahoma"/>
            <family val="2"/>
          </rPr>
          <t>In line with CCC vote of April 2012</t>
        </r>
      </text>
    </comment>
    <comment ref="L302" authorId="0">
      <text>
        <r>
          <rPr>
            <sz val="9"/>
            <rFont val="Tahoma"/>
            <family val="2"/>
          </rPr>
          <t>Only for completeness during macro processing… 
Not needed for Calculations</t>
        </r>
      </text>
    </comment>
  </commentList>
</comments>
</file>

<file path=xl/sharedStrings.xml><?xml version="1.0" encoding="utf-8"?>
<sst xmlns="http://schemas.openxmlformats.org/spreadsheetml/2006/main" count="2452" uniqueCount="2057">
  <si>
    <t>Allocation to emissions before the start of normal operation</t>
  </si>
  <si>
    <t>CHANGED!</t>
  </si>
  <si>
    <t>total emissions</t>
  </si>
  <si>
    <t>emissions related to electricity production</t>
  </si>
  <si>
    <t>result: eligible emissions (= i. - ii. )</t>
  </si>
  <si>
    <t>EUconst_CNTR_EmiBeforeStart</t>
  </si>
  <si>
    <t>EmiBeforeStart_</t>
  </si>
  <si>
    <t>Greenfield plant?</t>
  </si>
  <si>
    <t>EUconst_month</t>
  </si>
  <si>
    <t>EUconst_CNTR_PulpPaper</t>
  </si>
  <si>
    <t>PulpPaper107_</t>
  </si>
  <si>
    <t>partial cessation</t>
  </si>
  <si>
    <t>EUconst_ChangeType</t>
  </si>
  <si>
    <t>EUconst_CNTR_DesignCAP</t>
  </si>
  <si>
    <t>DesignCAP_</t>
  </si>
  <si>
    <t>Factor for pulp &amp; paper correction</t>
  </si>
  <si>
    <t>change type</t>
  </si>
  <si>
    <t>Adjustment factor to be applied:</t>
  </si>
  <si>
    <t>error message</t>
  </si>
  <si>
    <t>Partial cessation adjustment factor</t>
  </si>
  <si>
    <t>AdjF</t>
  </si>
  <si>
    <t>AL reduction</t>
  </si>
  <si>
    <t>EUconst_AdjF</t>
  </si>
  <si>
    <t>AdjF_</t>
  </si>
  <si>
    <t>Total final free allocation</t>
  </si>
  <si>
    <t>Entering "TRUE" here means that activity level of this sub-installation has been higher than zero on each day during a continuous 90 day period. The continuous 90 day period is to be understood as a period of 90 consecutive days in which the sub-installation is operated each day.</t>
  </si>
  <si>
    <t>annual activity level</t>
  </si>
  <si>
    <t>missing data</t>
  </si>
  <si>
    <t>E.II !</t>
  </si>
  <si>
    <t>E.I !</t>
  </si>
  <si>
    <t>D.II !</t>
  </si>
  <si>
    <t>EUConst_PartCessYear</t>
  </si>
  <si>
    <t>PartCessYear_</t>
  </si>
  <si>
    <t>PartCessYear</t>
  </si>
  <si>
    <t>EUconst_CNTR_PartCessALini</t>
  </si>
  <si>
    <t>PartCessALini_</t>
  </si>
  <si>
    <t>EUconst_CNTR_PartCessALnew</t>
  </si>
  <si>
    <t>PartCessALnew_</t>
  </si>
  <si>
    <t>B. Partial cessation</t>
  </si>
  <si>
    <t>A. Significant changes</t>
  </si>
  <si>
    <t>EUconst_SubInst17</t>
  </si>
  <si>
    <t>Phase before start</t>
  </si>
  <si>
    <t>Is the installation a greenfield plant?</t>
  </si>
  <si>
    <t>EUconst_ChangeType1</t>
  </si>
  <si>
    <t>first sub-installation of a greenfield plant</t>
  </si>
  <si>
    <t>Starting Date</t>
  </si>
  <si>
    <t>Type of "change"</t>
  </si>
  <si>
    <t>All subinstallations</t>
  </si>
  <si>
    <t>Check: Reduction</t>
  </si>
  <si>
    <t>EUconst_CNTR_PartCessAllocLini</t>
  </si>
  <si>
    <t>PartCessAllocIni_</t>
  </si>
  <si>
    <t>PP-F</t>
  </si>
  <si>
    <t>message</t>
  </si>
  <si>
    <t>100% &gt; x &gt; 50%</t>
  </si>
  <si>
    <t>50% &gt;= x &gt; 25%</t>
  </si>
  <si>
    <t>25% &gt;= x &gt; 10%</t>
  </si>
  <si>
    <t>x &gt;= 90%</t>
  </si>
  <si>
    <t>capacity source</t>
  </si>
  <si>
    <t>Euconst_CapacitySource</t>
  </si>
  <si>
    <t>NIMs 2005-2008</t>
  </si>
  <si>
    <t>NIMs Article 9(6)</t>
  </si>
  <si>
    <t>NIMs Experimental Verification</t>
  </si>
  <si>
    <t>capacity</t>
  </si>
  <si>
    <t>Cnew / Cinitial</t>
  </si>
  <si>
    <t>none</t>
  </si>
  <si>
    <t>C / design C</t>
  </si>
  <si>
    <t>Values used for calculation</t>
  </si>
  <si>
    <t>Allocation</t>
  </si>
  <si>
    <t>Adjustment Factor</t>
  </si>
  <si>
    <t>AL new/added/reduced</t>
  </si>
  <si>
    <t>Alloc new/added/reduced</t>
  </si>
  <si>
    <t>EUconst_CNTR_CAP2Months</t>
  </si>
  <si>
    <t>CAP2Months_</t>
  </si>
  <si>
    <t>Check: 40% rule</t>
  </si>
  <si>
    <t>EUconst_NormalOrChanged</t>
  </si>
  <si>
    <t>Initial allocation</t>
  </si>
  <si>
    <t>Individual production levels of products included in this product benchmark sub-installation</t>
  </si>
  <si>
    <t xml:space="preserve">&lt;&lt;&lt; Click here to proceed to next sheet &gt;&gt;&gt; </t>
  </si>
  <si>
    <t>N.A.</t>
  </si>
  <si>
    <t>EUconst_TrueFalse</t>
  </si>
  <si>
    <t>EUconst_TrueFalseNA</t>
  </si>
  <si>
    <t>I</t>
  </si>
  <si>
    <t>Name of contact person and contact details of EU ETS installations are optional, unless made mandatory by your competent authority.</t>
  </si>
  <si>
    <t>For entities not covered by the EU ETS, contact details are mandatory, but CITL ID is not required.</t>
  </si>
  <si>
    <t xml:space="preserve">Usually this is the production data of the product, e.g. tonnes of grey cement clinker or tonnes of glass bottles, as defined by Annex I of the CIMs. </t>
  </si>
  <si>
    <t>historical supplemental feed of hydrogen in each year of the baseline period expressed in tonnes of hydrogen</t>
  </si>
  <si>
    <t>historical supplemental feed of ethylene in each year of the baseline period expressed in tonnes of ethylene</t>
  </si>
  <si>
    <t>historical supplemental feed of other high value chemicals than hydrogen and ethylene in each year of the baseline period expressed in tonnes of HVC</t>
  </si>
  <si>
    <t>The historical activity level expressed in tonnes of ethylene oxide equivalents is calculated using the formula given in the CIMs, Annex III point 8.</t>
  </si>
  <si>
    <t>If you have entered "FALSE" under point (b) above only enter data for days with an activity level higher than zero.</t>
  </si>
  <si>
    <t>The definitions of the different fall-back sub-installations (Article 3(c), (d) and (h)) are to be respected when determining the "production level".</t>
  </si>
  <si>
    <t>Free space for all kinds of supplemental information</t>
  </si>
  <si>
    <t>EUconst_Negative</t>
  </si>
  <si>
    <t>negative!</t>
  </si>
  <si>
    <t>SUM_CO2</t>
  </si>
  <si>
    <t>SUM_bioCO2</t>
  </si>
  <si>
    <t>SUM_EnergyIN</t>
  </si>
  <si>
    <t>EUconst_SumCO2</t>
  </si>
  <si>
    <t>EUconst_SumBioCO2</t>
  </si>
  <si>
    <t>EUconst_SumEnergyIN</t>
  </si>
  <si>
    <t>EUconst_SumN2O</t>
  </si>
  <si>
    <t>EUconst_SumPFC</t>
  </si>
  <si>
    <t>SUM_N2O</t>
  </si>
  <si>
    <t>SUM_PFC</t>
  </si>
  <si>
    <t>Result of installation level data for use in sheets "D_Emissions" and "E_EnergyFlows":</t>
  </si>
  <si>
    <t>the fall-back sub-installation is not a new sub-installation, i.e. it was part of the installation before this current application.</t>
  </si>
  <si>
    <t>the initial installed capacity has not been provided for the NIMs application, and</t>
  </si>
  <si>
    <t xml:space="preserve">The relevant activity level is to understood as the </t>
  </si>
  <si>
    <t>the activity level of the first sub-installation in case the installation is a greenfield plant</t>
  </si>
  <si>
    <t>the activity level related to the added capacity in case of significant capacity extensions.</t>
  </si>
  <si>
    <t>the remaining activity level in case of significant capacity reductions.</t>
  </si>
  <si>
    <t>added capacity in case of significant capacity extensions</t>
  </si>
  <si>
    <t>reduced capacity in case of significant capacity reductions. This is not the "remaining" capacity.</t>
  </si>
  <si>
    <t>The value calculated here represents the</t>
  </si>
  <si>
    <t xml:space="preserve">This factor is dimensionless and will be displayed automatically. </t>
  </si>
  <si>
    <t>Current application</t>
  </si>
  <si>
    <t>These values are the same as in point (a) above but corrected by adjustment factors for partial cessations in accordance with Article 23.</t>
  </si>
  <si>
    <t>The amounts here reflect the final total amount of allowances allocated free of charge prior to this current application on the basis of your entries in section A.III.</t>
  </si>
  <si>
    <t>Partial cessations</t>
  </si>
  <si>
    <t>Empty fields will be interpreted as "1" for further calculations.</t>
  </si>
  <si>
    <t>In case the installation is a greenfield plant or an existing installation applies for changes of allocation after having had significant changes, the added or reduced final allocation is calculated here.</t>
  </si>
  <si>
    <t>The acronym "NER" used in this template refers to the New Entrants Reserve established pursuant to Article 10a(7) of the EU ETS Directive.</t>
  </si>
  <si>
    <t>Please note that if the installation as a whole has ceased operations none of the other two types of allocation change can be relevant and treated within this application.</t>
  </si>
  <si>
    <t>Please answer "TRUE" here, if this installation has been included in the list of installations, which the competent authority has established pursuant to Article 11 of the EU ETS Directive. This shows that the competent authority considers this installation an incumbent installation as defined by Article 3(a) of the CIMs, even if the initial free allocation has been zero.</t>
  </si>
  <si>
    <t>If the installation has ceased operations, please enter here the calendar year in which operations have been ceased.</t>
  </si>
  <si>
    <t>Changes to the free allocation due to partial cessations of operations and recovery after partial cessations, to be reported under point A.III.4 below.</t>
  </si>
  <si>
    <t>Calendar year in which the sub-installation partially ceased or recovered from partial cessation:</t>
  </si>
  <si>
    <t>Partial cessation occurs if the named sub-installation has reduced its annual activity level in a given calendar year by at least 50%, 75% or 90% compared to the [initial] activity level. The sub-installation has a recovery after such partial cessation, if those thresholds are not exceeded any more.</t>
  </si>
  <si>
    <t>The activity level of an incumbent sub-installation should be understood as the activity level of that sub-installation including significant changes in accordance with Article 9(9) of the CIMs, if relevant. In case of installations that are not incumbent, this activity level should be set to zero.</t>
  </si>
  <si>
    <t>Current annual activity level</t>
  </si>
  <si>
    <t>In case the sector's usual production cycle does not foresee such continuous 90 day periods, the sector-specific production cycles are added up to a 90 day period. Please provide here a short description of those usual production cycles. (e.g. "the sub-installation normally operates only 5 days per week")</t>
  </si>
  <si>
    <t>The activity level is calculated by adding up the daily activity levels in the 90 day period entered under point (e) above. To assess whether the 40% threshold was reached, this number is divided by the design capacity entered under point (a) above of the sub-installation multiplied by (90 divided by 365).</t>
  </si>
  <si>
    <t>The value calculated here is the average of the 2 highest monthly activity levels under (b) point iii.</t>
  </si>
  <si>
    <t>new capacity in case of new sub-installations which are treated similar to significant capacity extensions with an initial installed capacity of zero. It equals the value given under (e).</t>
  </si>
  <si>
    <t>The value calculated here is the average of the 2 highest monthly activity levels under point (b).</t>
  </si>
  <si>
    <t>Calculation factor for taking into account the amount of pulp placed onto the market in accordance with Article 10(7).</t>
  </si>
  <si>
    <t>For new installations ("greenfield plants"), such ID might not yet be available. For them this input field is optional. Operators are requested to contact the competent authority to receive such ID.</t>
  </si>
  <si>
    <t>If the installation should reopen anytime again it will be considered as a new entrant. Only in exceptional cases the Member State may interpret this longer interruption as a "partial cessation" rather than using the new entrant allocation.</t>
  </si>
  <si>
    <t xml:space="preserve">Please enter in the table below for all partial cessations and recoveries after partial cessation listed in section A.III.2 above the relevant adjustment factor to be applied for each year. </t>
  </si>
  <si>
    <t>In the last column you have to identify what type of "change" is relevant for this current application. If no changes are relevant for a sub-installation, please choose "none".</t>
  </si>
  <si>
    <t>In case that new sub-installations have been claimed under section IV above the initial capacity for these sub-installations has to be set to zero and the new sub-installation will be treated as a significant capacity extension. For the first sub-installation to start normal operation the initial installed capacity will be taken from your entries in sheets F or G.</t>
  </si>
  <si>
    <t>If you have not entered data under point (a) above or the data entered there does not reflect the latest capacity, i.e. the capacity is not based on 2005-2008, inputs here are mandatory if indicated by the yellow colour code. For further guidance see description above.</t>
  </si>
  <si>
    <t>Since the contribution of a sub-installation to an installation's allocation can change over the years, entry under point (a) is required in order to check if one of those two criteria is fulfilled.</t>
  </si>
  <si>
    <t xml:space="preserve">Please enter here for all significant changes that occurred after 30 June 2011 the added or reduced activity level. It is important to use the added or reduced activity levels only and not the total numbers. E.g. a sub-installation had an initial activity level of 100 determined in the NIMs allocation. After a significant reduction the new activity level is 80. The value to be entered here is "-20". </t>
  </si>
  <si>
    <t>This sheet is used for entering data related to the start of normal operation of new installations ("greenfield installations") or the start of changed operation of sub-installations after a significant capacity changes.</t>
  </si>
  <si>
    <t>In accordance with Article 3(o) of the CIMs the 'start of changed operation' means the verified and approved first day of a continuous 90-day period, or, where the usual production cycle in the sector concerned does not  foresee continuous production, the first day of a 90-day period split in sector-specific production cycles, during which the changed sub-installation operates at least at 40% of the capacity that the equipment is designed to accommodate taking into account, where appropriate, the sub-installation-specific operating conditions;</t>
  </si>
  <si>
    <t>Member States may request to report production levels for the individual products identified under (m) above mandatorily. If this is the case in your Member State, cells below relating to your chosen baseline period will be highlighted in bright yellow (see colour codes in sheet "b_Guidelines &amp; conditions").</t>
  </si>
  <si>
    <t>Since the following data is calculated from entries in previous sheets please make sure entries made there are correct. In case this is the first sub-installation of a greenfield, data entered in those previous sections should be consistent with the period chosen above, i.e. three 30 day periods or 2 calendar months.</t>
  </si>
  <si>
    <t>Calculation factors used are the carbon leakage factor, the linear factor referred to in Article 10a(4) of the EU ETS Directive, and the cross-sectoral correction factor (CSCF) in accordance with Article 15(3) of the CIMs.</t>
  </si>
  <si>
    <t>The values in this table reflect the adjustment factors to be applied from this current application onwards due to partial cessation or recovery from partial cessation.</t>
  </si>
  <si>
    <t>"Process emissions sub-installation" here is to be used strictly in the sense of Article 3(h) of the CIMs. The definition of process emissions given by the Regulation pursuant to Article 14 of the EU ETS Directive are not relevant here.</t>
  </si>
  <si>
    <t>xxx</t>
  </si>
  <si>
    <t>NE&amp;C data file</t>
  </si>
  <si>
    <t>Member States have to submit the relevant information from operators of installations needed for calculating the preliminary free allocations to the Commission. Article 24(2) of the CIMs requires Member States to use an electronic template provided by the Commission for this purpose. This template has been developed such that the competent authority can also use it for collecting the relevant data from operators.</t>
  </si>
  <si>
    <t>Whenever a value of zero is to be reported, it should be entered rather than keeping the cell empty. If a cell is kept empty, the CA does not know if the value has not been reported, is irrelevant or unknown. Values needed for calculations should always be entered (especially if zero, because some formulas don't give results as long as required cells are empty).</t>
  </si>
  <si>
    <t>Ethylene oxide/ ethylene glycols</t>
  </si>
  <si>
    <t>Vinyl chloride monomer</t>
  </si>
  <si>
    <t>S-PVC</t>
  </si>
  <si>
    <t>E-PVC</t>
  </si>
  <si>
    <t xml:space="preserve">Production of hydrogen (H2) and synthesis gas by reforming or partial oxidation with a production capacity exceeding 25 tonnes per day </t>
  </si>
  <si>
    <t>Hydrogen</t>
  </si>
  <si>
    <t>Synthesis gas</t>
  </si>
  <si>
    <t xml:space="preserve">Production of soda ash (Na2CO3) and sodium bicarbonate (NaHCO3) </t>
  </si>
  <si>
    <t>Soda ash</t>
  </si>
  <si>
    <t>end</t>
  </si>
  <si>
    <t>For each type of product, only one sub-installation may be chosen. Similar products which are covered by the same product definition in the CIMs are aggregated.</t>
  </si>
  <si>
    <t>year</t>
  </si>
  <si>
    <t>EUconst_Year</t>
  </si>
  <si>
    <t>EUconst_Tons</t>
  </si>
  <si>
    <t>General Information on this Template</t>
  </si>
  <si>
    <t>Data used for determining the initial installed capacity pursuant to Article 7(3) of the CIMs:</t>
  </si>
  <si>
    <t>Sub-installation</t>
  </si>
  <si>
    <t>Country:</t>
  </si>
  <si>
    <t>Name of authorized representative:</t>
  </si>
  <si>
    <t>Email:</t>
  </si>
  <si>
    <t>Telephone:</t>
  </si>
  <si>
    <t>Fax:</t>
  </si>
  <si>
    <t>Company Name:</t>
  </si>
  <si>
    <t>Primary contact person for technical questions regarding installation data:</t>
  </si>
  <si>
    <t>Alternative contact person:</t>
  </si>
  <si>
    <t>Other HVC</t>
  </si>
  <si>
    <t>Result: Activity levels for net HVC</t>
  </si>
  <si>
    <t>Here the corrected activity level (net amount HVC) is calculated using the formula given in the CIMs, Annex III point 4 (before determining the median value).</t>
  </si>
  <si>
    <t>Net HVC production levels</t>
  </si>
  <si>
    <t>Tool for calculating the historical activity levels for hydrogen sub-installations</t>
  </si>
  <si>
    <t>This tool helps you determine the HAL (historical activity levels) for the hydrogen benchmark (Annex III point 6 of the CIMs).</t>
  </si>
  <si>
    <t>Please enter here the annual production data of hydrogen referred to historical hydrogen content in each year of the baseline period.</t>
  </si>
  <si>
    <t>Total hydrogen production</t>
  </si>
  <si>
    <t>EUconst_MNm3pa</t>
  </si>
  <si>
    <t>Norway</t>
  </si>
  <si>
    <t>Liechtenstein</t>
  </si>
  <si>
    <t>IS</t>
  </si>
  <si>
    <t>LI</t>
  </si>
  <si>
    <t>NO</t>
  </si>
  <si>
    <t>UBA</t>
  </si>
  <si>
    <t>Name</t>
  </si>
  <si>
    <t>TEXT (Language Version)</t>
  </si>
  <si>
    <t>English Version (Original)</t>
  </si>
  <si>
    <t>Constant</t>
  </si>
  <si>
    <t>Further constants</t>
  </si>
  <si>
    <t>EUconst_ReportingYears</t>
  </si>
  <si>
    <t>End</t>
  </si>
  <si>
    <t>Area for functionalities, Constants etc.</t>
  </si>
  <si>
    <t>II</t>
  </si>
  <si>
    <t>Therefore the results below are multiplied with a factor of 1000, which is not explicitely mentioned in Annex III point 5 of the CIMs.</t>
  </si>
  <si>
    <t>Aromatics activity level</t>
  </si>
  <si>
    <r>
      <t xml:space="preserve">In order to protect formulae against unintended modifications, which usually lead to wrong and misleading results, 
it is of utmost importance </t>
    </r>
    <r>
      <rPr>
        <b/>
        <sz val="10"/>
        <color indexed="10"/>
        <rFont val="Arial"/>
        <family val="2"/>
      </rPr>
      <t>NOT TO USE the CUT &amp; PASTE.</t>
    </r>
    <r>
      <rPr>
        <sz val="10"/>
        <color indexed="10"/>
        <rFont val="Arial"/>
        <family val="2"/>
      </rPr>
      <t xml:space="preserve">
If you want to move data, first COPY and PASTE them, and thereafter delete the unwanted data in the old (wrong) place.</t>
    </r>
  </si>
  <si>
    <t>Member State specific information:</t>
  </si>
  <si>
    <t>Name of the installation:</t>
  </si>
  <si>
    <t>Operator data:</t>
  </si>
  <si>
    <t>Name:</t>
  </si>
  <si>
    <t>Installation address:</t>
  </si>
  <si>
    <t>Street, Number:</t>
  </si>
  <si>
    <t>ZIP-Code:</t>
  </si>
  <si>
    <t>City:</t>
  </si>
  <si>
    <t>tC2F6 / tCF4</t>
  </si>
  <si>
    <t>Total Direct Greenhouse Gas Emissions and Energy Input from Fuels</t>
  </si>
  <si>
    <t>Total N2O emissions</t>
  </si>
  <si>
    <t>Total PFC emissions</t>
  </si>
  <si>
    <t>Total CO2 emissions</t>
  </si>
  <si>
    <t>Total direct emission of the Installation</t>
  </si>
  <si>
    <t>tCO2e/tN2O</t>
  </si>
  <si>
    <t>Installation level data:</t>
  </si>
  <si>
    <t>Total energy input from fuels</t>
  </si>
  <si>
    <t>A separate balance for the consumption of the "eligible" and "non-eligible" heat is calculated.</t>
  </si>
  <si>
    <t>For the purpose of this template, the following step-by-step approach is used:</t>
  </si>
  <si>
    <t>Heat imported from non-ETS installations or entities:</t>
  </si>
  <si>
    <t>Pursuant to article 13 of the CIMs, an amount of emissions has to be deducted from the preliminary annual allocation from product-benchmark sub-installations.</t>
  </si>
  <si>
    <t>Hydrogen related emissions</t>
  </si>
  <si>
    <t>EUconst_FuelBMvalue</t>
  </si>
  <si>
    <t>Emission related data:</t>
  </si>
  <si>
    <t>From the remaining amount of measurable heat, it must be determined how much is consumed within the installation (except for electricity production and product benchmark sub-installations). The amount of "eligible" heat remaining at the end of the previous steps is the upper limit.</t>
  </si>
  <si>
    <t>eligible by origin:</t>
  </si>
  <si>
    <t>non-eligible by origin:</t>
  </si>
  <si>
    <t>Non-ETS heat entered in sheet "F_ProductBM" compared to total amount of non-ETS heat imports entered above under point (c):</t>
  </si>
  <si>
    <t>Non-ETS heat entered in sheet "F_ProductBM" compared to total amount of heat for all product benchmarks:</t>
  </si>
  <si>
    <t>Note that heat produced from nitric acid sub-installations has to be reported under point (c) as "non-ETS import".</t>
  </si>
  <si>
    <t>Note that the data entered here is to be checked for double counting with deductions under product benchmark sub-installations (see sheet "ProductBM").</t>
  </si>
  <si>
    <t>"ETS heat" is heat produced in the installation plus heat imported from ETS installations (=a+b).</t>
  </si>
  <si>
    <t xml:space="preserve">Total heat is the ETS heat plus heat imported from non-ETS entities and installations (=a+b+c). </t>
  </si>
  <si>
    <t>If this is not feasible, all uses shall be weighted according to the ratio of inputs (ETS input : total input) as defined above.</t>
  </si>
  <si>
    <t>All heat data should  refer to "net amount of measurable heat" (i.e. heat content of heat flow to user minus heat content of the return flow).</t>
  </si>
  <si>
    <t>In a first step the non-eligible amounts for heat use within the installation are considered.</t>
  </si>
  <si>
    <t>Initial activity level for NIMs</t>
  </si>
  <si>
    <t>Important note: The reporting above is done in ktonnes, but the benchmark is expressed in t CO2/CWT, where CWT is expressed in tonnes.</t>
  </si>
  <si>
    <t>Tool for calculating the historical activity levels for lime sub-installations</t>
  </si>
  <si>
    <t>Emissions related to fuel benchmark sub-installations</t>
  </si>
  <si>
    <t xml:space="preserve">Detailed instructions for data entries in this tool can be found at the first copy of this tool. </t>
  </si>
  <si>
    <t>The installation is either electricity generator or CCS installation, AND produces heat</t>
  </si>
  <si>
    <t>Please enter here the preliminary annual number of emission allowances allocated free of charge for this sub-installation before the change.</t>
  </si>
  <si>
    <t>This section is only mandatory if the 10% criterion under point (e) above has not been fulfilled.</t>
  </si>
  <si>
    <t>http://eur-lex.europa.eu/LexUriServ/LexUriServ.do?uri=CONSLEG:2003L0087:20090625:EN:PDF</t>
  </si>
  <si>
    <t>How to use this file</t>
  </si>
  <si>
    <t>http://ec.europa.eu/clima/policies/ets/index_en.htm</t>
  </si>
  <si>
    <t>Figures for control:</t>
  </si>
  <si>
    <t>Sub-installation split - Input method:</t>
  </si>
  <si>
    <t>Attribution of heat sub-installations to Carbon Leakage exposure levels:</t>
  </si>
  <si>
    <t>This tool helps you determine the HAL (historical activity levels) for the Dolime benchmark (Annex III point 3 of the CIMs). It is not to be used for "sintered dolime".</t>
  </si>
  <si>
    <t>Uncorrected Dolime production:</t>
  </si>
  <si>
    <t>A list of PRODCOM 2007 codes can be found at:</t>
  </si>
  <si>
    <t>http://ec.europa.eu/eurostat/ramon/nomenclatures/index.cfm?TargetUrl=LST_CLS_DLD&amp;StrNom=PRD_2010&amp;StrLanguageCode=EN&amp;StrLayoutCode=HIERARCHIC</t>
  </si>
  <si>
    <t>A list of PRODCOM 2010 codes can be found at:</t>
  </si>
  <si>
    <t>EUconst_ProcessEmissionTypes</t>
  </si>
  <si>
    <t>N2O</t>
  </si>
  <si>
    <t>PFCs</t>
  </si>
  <si>
    <t>CO2 (wastegas corrected)</t>
  </si>
  <si>
    <t>reduction of metals compounds</t>
  </si>
  <si>
    <t>removal of impurities</t>
  </si>
  <si>
    <t>decomposition of carbonates</t>
  </si>
  <si>
    <t>Draft III NIMs baseline data</t>
  </si>
  <si>
    <t>NIMs 3rd draft</t>
  </si>
  <si>
    <t>Please provide here information on the greenhouse gas emissions permit (=permit issued in accordance with Articles 5 and 6 of the EU ETS Directive).</t>
  </si>
  <si>
    <t>Article 3(u) defines: ‘electricity generator’ means an installation that, on or after 1 January 2005, has produced electricity for sale to third parties, and in which no activity listed in Annex I is carried out other than the combustion of fuels.</t>
  </si>
  <si>
    <t>CNTR_HasEntries_A_I:</t>
  </si>
  <si>
    <t>Used for formatting and Error messages.</t>
  </si>
  <si>
    <t>Transport of greenhouse gases by pipelines for geological storage in a storage site permitted under Directive 2009/31/EC</t>
  </si>
  <si>
    <t>Geological storage of greenhouse gases in a storage site permitted under Directive 2009/31/EC</t>
  </si>
  <si>
    <t>EUconst_MsgApplyArt96</t>
  </si>
  <si>
    <t>Article 9(6) of the CIMs is to be applied!</t>
  </si>
  <si>
    <t>a</t>
  </si>
  <si>
    <t>Has this installation been included in the EU ETS before?</t>
  </si>
  <si>
    <t>Net amount of [measurable] heat imported by this sub-installation from other ETS installations or other entities;</t>
  </si>
  <si>
    <t>EUconst_ERR_Capacity0.9</t>
  </si>
  <si>
    <t>capacity increase &lt; 10%</t>
  </si>
  <si>
    <t>capacity decrease &lt; 10%</t>
  </si>
  <si>
    <t>EUconst_CNTR_Finitial</t>
  </si>
  <si>
    <t>FInitial_</t>
  </si>
  <si>
    <t>Capacity reported</t>
  </si>
  <si>
    <t>First sub?</t>
  </si>
  <si>
    <t>SCUF</t>
  </si>
  <si>
    <t>Standard capacity utilisation factor</t>
  </si>
  <si>
    <t>Type of connection options are:</t>
  </si>
  <si>
    <t>Note that in case this sub-installation is the first sub-installation of a greenfield plant to start normal operation this value is not applicable and will be left empty.</t>
  </si>
  <si>
    <t>New sub-installation must have the change type "significant capacity extension" or "first sub-installation of a greenfield plant", as appropriate.</t>
  </si>
  <si>
    <t>only after the start of normal or changed operation an installation is eligible for (changes of) allocation in accordance with Articles 17, 20 or 21 of the CIMs.</t>
  </si>
  <si>
    <t>The design capacity needs to be determined on the basis of project documentation and on the guaranteed values given by the supplier. Relevant documents could be reports - the ones accompanying the project - datasheets, guaranteed maximum performance values.</t>
  </si>
  <si>
    <t xml:space="preserve">Initial annual activity level </t>
  </si>
  <si>
    <t>Related to added capacity</t>
  </si>
  <si>
    <t>EUconst_TotAdded</t>
  </si>
  <si>
    <t>Special care must be taken of consistency of data with the units displayed.</t>
  </si>
  <si>
    <t>Means that data is not sufficient for calculation (e.g. an emission factor is missing in one year)</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</si>
  <si>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</si>
  <si>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These are references to document sections. This means that data in the referenced sections are missing.</t>
  </si>
  <si>
    <t xml:space="preserve">This text gives further explanations. </t>
  </si>
  <si>
    <t>Here only data which is relevant for the calculation is displayed. Only baseline years selected are filled with values. If Art 9(6) is relevant, no activity data in baseline years are shown. If no significant changes have been reported, no data on this is shown, etc.</t>
  </si>
  <si>
    <t>Special factors:</t>
  </si>
  <si>
    <t>EUconst_EUA</t>
  </si>
  <si>
    <t>EUA</t>
  </si>
  <si>
    <t>EUconst_EUApa</t>
  </si>
  <si>
    <t>No. of FB</t>
  </si>
  <si>
    <t>EUconst_EUApt</t>
  </si>
  <si>
    <t>Default values</t>
  </si>
  <si>
    <t>EUconst_HALsum</t>
  </si>
  <si>
    <t>HALsum_</t>
  </si>
  <si>
    <t>EUconst_AllocPrelim2013</t>
  </si>
  <si>
    <t>AllocPrelim2013_</t>
  </si>
  <si>
    <t>If your competent authority requires you to hand in a signed paper copy of the report, please use the space below for signature:</t>
  </si>
  <si>
    <t>Version comments</t>
  </si>
  <si>
    <t>Tool for calculating the historical activity levels for steam cracking sub-installations</t>
  </si>
  <si>
    <t>You may choose to report either as tonnes or as 1000 Nm3 (cubic meters under standard conditions). The units must be consistent with those for the NCV below.</t>
  </si>
  <si>
    <t>Member State:</t>
  </si>
  <si>
    <t>Incumbent:</t>
  </si>
  <si>
    <t>Starting date:</t>
  </si>
  <si>
    <t>Verifier (company):</t>
  </si>
  <si>
    <t>EPRTR ID:</t>
  </si>
  <si>
    <t>Included in ETS before:</t>
  </si>
  <si>
    <t>NACE code in 2007 (NACE rev 1.1):</t>
  </si>
  <si>
    <t>NACE code in 2010 (NACE rev 2):</t>
  </si>
  <si>
    <t>Installation Identifier:</t>
  </si>
  <si>
    <t>Values entered in sheet "F_ProductBM":</t>
  </si>
  <si>
    <t>The greenhouse gas emissions permit, the permit in force in accordance with Directive 2008/1/EC or any other relevant environmental permit has expired</t>
  </si>
  <si>
    <t>The permits referred to under point (a) have been withdrawn;</t>
  </si>
  <si>
    <t>Operation of the installation is technically impossible;</t>
  </si>
  <si>
    <t>The installation is not operating, but has been operating before and it is technically impossible to resume operation;</t>
  </si>
  <si>
    <t>Has the installation ceased operations?</t>
  </si>
  <si>
    <t>When did the installation cease operations?</t>
  </si>
  <si>
    <t>Why did the installation cease operations?</t>
  </si>
  <si>
    <t>Information on the Greenhouse gas emissions permit:</t>
  </si>
  <si>
    <t>Grey shaded areas should be filled by Member States before publishing a customized version of the template.</t>
  </si>
  <si>
    <t>Sheet "InstallationData" - GENERAL INFORMATION ON THIS APPLICATION</t>
  </si>
  <si>
    <t>This name should be the same as has been already been used for correspondence with the competent authority.</t>
  </si>
  <si>
    <t>"Member State" means here: State which participates in the EU ETS, i.e. EU-27, Croatia, and Iceland, Norway and Liechtenstein.</t>
  </si>
  <si>
    <t>This is usually the ID code used for NAP II (if applicable) or the NIMs, or any other ID used by the competent authority for correspondence.</t>
  </si>
  <si>
    <t>For new installations ("greenfield plants"), operators are requested to contact the competent authority to receive such ID.</t>
  </si>
  <si>
    <t>Identification code of the installation in the registry:</t>
  </si>
  <si>
    <t>This is usually a natural number, i.e. a code different from the permit identifier used in the registry.</t>
  </si>
  <si>
    <t>Application form for amending amounts allocated free of charge</t>
  </si>
  <si>
    <t xml:space="preserve">These Community-wide Implementing Measures (hereinafter "the CIMs") have been published as Commission Decision 2011/278/EU and can be downloaded from: </t>
  </si>
  <si>
    <t>This installation has been included in the National implementation measures (NIMs)?</t>
  </si>
  <si>
    <t>An installation is considered a greenfield plant if this application form is used for applying for free allocation for the first time, i.e. if the installation has not been included in the NIMs, and has not reported any significant capacity change before.</t>
  </si>
  <si>
    <t>EUconst_ERR_DatesBeforeJuly2011</t>
  </si>
  <si>
    <r>
      <t>Member States may request to report production levels  for the individual products identified under (</t>
    </r>
    <r>
      <rPr>
        <b/>
        <i/>
        <u val="single"/>
        <sz val="8"/>
        <color indexed="10"/>
        <rFont val="Arial"/>
        <family val="2"/>
      </rPr>
      <t>l</t>
    </r>
    <r>
      <rPr>
        <i/>
        <sz val="8"/>
        <color indexed="62"/>
        <rFont val="Arial"/>
        <family val="2"/>
      </rPr>
      <t>) above mandatorily. If this is the case in your Member State, cells below relating to your chosen baseline period will be highlighted in bright yellow (see colour codes in sheet "b_Guidelines &amp; conditions").</t>
    </r>
  </si>
  <si>
    <t>Disaggregation of production levels, if relevant:</t>
  </si>
  <si>
    <t>Please list here to which production processes or services this sub-installation relates. This may include the following items:</t>
  </si>
  <si>
    <t>export of heat to installations or other entities (e.g. heat networks). In this case please indicate the use of heat in that installation or entity, if known.</t>
  </si>
  <si>
    <t>Options are: "District heating", "unknown", or a specification of the production process. Products with benchmarks are also possible.</t>
  </si>
  <si>
    <t>EUconst_MsgGoToNextSheet</t>
  </si>
  <si>
    <t>This new activity level is then considered to be the initial activity level for partial cessations.</t>
  </si>
  <si>
    <t>The value here is the sum of all changed annual activity levels entered under point (c) above.</t>
  </si>
  <si>
    <t>Please enter here the annual activity level in the calendar year selected under point (a) above.</t>
  </si>
  <si>
    <t>EUConst_MsgPartCessCritFulfilled</t>
  </si>
  <si>
    <t>For the aromatics benchmark, which also uses CWT, please use the specific CWT tool for aromatics below (section V of this sheet).</t>
  </si>
  <si>
    <t>For the definition and boundaries of each CWT function please see Annex II point 2 of the CIMs.</t>
  </si>
  <si>
    <t>EUconst_ERR_Mandatory_ef</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</si>
  <si>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</si>
  <si>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</si>
  <si>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</si>
  <si>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</si>
  <si>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</si>
  <si>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EUconst_TotFreeAlloc</t>
  </si>
  <si>
    <t>If the installation has ceased operations, please enter here one of the reasons a) to e) from the list above.</t>
  </si>
  <si>
    <t>EUconst_DateMissing</t>
  </si>
  <si>
    <t>Date is missing!</t>
  </si>
  <si>
    <t>The following abbreviations are used in the tables below:</t>
  </si>
  <si>
    <t>CL-exposed</t>
  </si>
  <si>
    <t>Carbon leakage exposure. "True" if the sub-installation serves a sector deemed to be exposed to a significant risk of carbon leakage.</t>
  </si>
  <si>
    <t>Number of the Benchmark</t>
  </si>
  <si>
    <t>Value of the benchmark according to Annex I of the CIMs</t>
  </si>
  <si>
    <t>If both types of heat input are relevant, "eligible" (self-produced and/or imported form ETS installations) and "non-eligible" (import from non-ETS or produced from a Nitric acid sub-installation), AND if both types of heat use take place, i.e. "eligible" (internal use and/or export to non-ETS) and "non-eligible" (export to ETS-Installations), it is necessary to earmark the eligible and non-eligible cases.</t>
  </si>
  <si>
    <t>A hierarchy of approaches is proposed for this earmarking:</t>
  </si>
  <si>
    <t>Thereafter the factor determined under (e) is corrected taking into account the remainder of eligible and non-eligible heat. This factor is used for point (l).</t>
  </si>
  <si>
    <t>Amount for allocation correction:</t>
  </si>
  <si>
    <t>EUconst_CNTR_HEAT</t>
  </si>
  <si>
    <t>HEAT_</t>
  </si>
  <si>
    <t>EUconst_CNTR_VCM</t>
  </si>
  <si>
    <t>VCM_</t>
  </si>
  <si>
    <t>It determines the amount which has to be added to the preliminary annual allocation after having corrected for electricity exchangeability.</t>
  </si>
  <si>
    <t>Result: Amount to be added to the preliminary total allocation for the steam cracking sub-installation:</t>
  </si>
  <si>
    <t>Calculation based on the formula given in the CIMs, Article 11.</t>
  </si>
  <si>
    <t>EUconst_CNTR_HVC</t>
  </si>
  <si>
    <t>HVC_</t>
  </si>
  <si>
    <t>If the formula results in a negative value, it is replaced by zero.</t>
  </si>
  <si>
    <t>Heat consumed within the installation</t>
  </si>
  <si>
    <t>EUconst_Unit</t>
  </si>
  <si>
    <t>EUconst_GJ</t>
  </si>
  <si>
    <t>GJ</t>
  </si>
  <si>
    <t>EUconst_MWh</t>
  </si>
  <si>
    <t>MWh</t>
  </si>
  <si>
    <t>EUconst_t</t>
  </si>
  <si>
    <t>t</t>
  </si>
  <si>
    <t>EUconst_tCO2</t>
  </si>
  <si>
    <t>t CO2</t>
  </si>
  <si>
    <t>EUconst_tN2O</t>
  </si>
  <si>
    <t>t N2O</t>
  </si>
  <si>
    <t>EUconst_Or</t>
  </si>
  <si>
    <t>or</t>
  </si>
  <si>
    <t>Energy input from fuels, total installation (taken from sheet "D_Emissions", section I):</t>
  </si>
  <si>
    <t>Unique Identifier provided by the competent authority:</t>
  </si>
  <si>
    <t>In case that the Member State uses not accreditation but another way of recognising verifiers, the relevant information should be entered below as if it were accreditation.</t>
  </si>
  <si>
    <t>The EPRTR is the European Pollutant Release and Transfer Register.</t>
  </si>
  <si>
    <t>Please provide the identification code of the installation in the EPRTR, if applicable:</t>
  </si>
  <si>
    <t>Synthesis gas production for POX units</t>
  </si>
  <si>
    <t>Result: Activity levels for the refinery benchmark expressed as CWT</t>
  </si>
  <si>
    <t>(d)</t>
  </si>
  <si>
    <t>III</t>
  </si>
  <si>
    <t>Unit</t>
  </si>
  <si>
    <t>EUconst_ERR_Mandatory_g</t>
  </si>
  <si>
    <t>EUconst_ERR_Mandatory_abd</t>
  </si>
  <si>
    <t>experimental</t>
  </si>
  <si>
    <t>point (a)</t>
  </si>
  <si>
    <t>EUconst_Experimental</t>
  </si>
  <si>
    <t>EUconst_PointA</t>
  </si>
  <si>
    <t>At least one sub-installation name has been entered more than once. Please correct!</t>
  </si>
  <si>
    <t>EUconst_ERR_DoubleBMentry</t>
  </si>
  <si>
    <t>You must select at least one sub-installation in sections III.1 or III.2!</t>
  </si>
  <si>
    <t>EUconst_ERR_MissingSubInstEntry</t>
  </si>
  <si>
    <t>Please enter for each sub-installation if it is relevant or not!</t>
  </si>
  <si>
    <t>EUconst_ERR_MissingFallBackEntry</t>
  </si>
  <si>
    <t>ETS coverage (f. formatting)</t>
  </si>
  <si>
    <t>Name of product or group of products</t>
  </si>
  <si>
    <t xml:space="preserve">&lt;&lt;&lt; END OF TEMPLATE &gt;&gt;&gt; </t>
  </si>
  <si>
    <t>Please enter here the historical production volume fraction of pure hydrogen in each year of the baseline period. This is a dimensionless figure.</t>
  </si>
  <si>
    <t xml:space="preserve">You can enter the figure of 95% either as "0.95" or as "95%". </t>
  </si>
  <si>
    <t>Volume fraction of hydrogen</t>
  </si>
  <si>
    <t>Hydrogen volume fraction VF(H2)</t>
  </si>
  <si>
    <t>Here the corrected activity level (100% hydrogen) is calculated using the formula given in the CIMs, Annex III point 6 (before determining the median value).</t>
  </si>
  <si>
    <t>Hydrogen (as 100% pure H2)</t>
  </si>
  <si>
    <t>Volume of total production of hydrogen (uncorrected)</t>
  </si>
  <si>
    <t>Result: Activity levels for hydrogen referred to as tonnes 100% H2</t>
  </si>
  <si>
    <t>Due to the very big figures for m3, the figures are to be entered as 1000 Nm3 (norm cubic meters referring to 0°C and 101.325 kPa).</t>
  </si>
  <si>
    <t>Tool for calculating the historical activity levels for synthesis gas sub-installations</t>
  </si>
  <si>
    <t>0 &lt;= RCUF &lt;=1 !</t>
  </si>
  <si>
    <t>Member State in which the installation is situated:</t>
  </si>
  <si>
    <t>EUconst_MSlist</t>
  </si>
  <si>
    <t>EUconst_MSlistISOcodes</t>
  </si>
  <si>
    <t>Suggested unique ID for notification to the Commission:</t>
  </si>
  <si>
    <t>Member States may make this information optional if the competent authority is in possession of this information already.</t>
  </si>
  <si>
    <t>MSconst_RequirePermitInfo</t>
  </si>
  <si>
    <t>Operator Name:</t>
  </si>
  <si>
    <t>The operator is the [natural or legal] person who operates or controls an installation or, where this is provided for in national legislation, to whom decisive economic power over the technical functioning of the installation has been delegated.</t>
  </si>
  <si>
    <t>Information about the verifier's accreditation or recognition:</t>
  </si>
  <si>
    <t>This information is useful for the competent authorities for consistency checks and alignment of environmental information sources.</t>
  </si>
  <si>
    <t>v.</t>
  </si>
  <si>
    <t>vi.</t>
  </si>
  <si>
    <t>vii.</t>
  </si>
  <si>
    <t>viii.</t>
  </si>
  <si>
    <t>ix.</t>
  </si>
  <si>
    <t>For formatting of capacity list:</t>
  </si>
  <si>
    <t>CNTR_ExistSubInstEntries</t>
  </si>
  <si>
    <t>For formatting of connection list:</t>
  </si>
  <si>
    <t>CNTR_ExistConnectionEntries</t>
  </si>
  <si>
    <t>MSconst_RequireConnectedInstContact</t>
  </si>
  <si>
    <t>If the answers to points (a) and (b) are both negative, or if the answer to point (d) is positive, the installation can be considered as eligible for free allocation under Article 10a of the EU ETS Directive. If relevant for your installation, please confirm here that you apply for a free allocation of allowances under Article 10a:</t>
  </si>
  <si>
    <t>Total Ethylene oxide equivalents</t>
  </si>
  <si>
    <t>Installation producing Nitric Acid</t>
  </si>
  <si>
    <t>first sub-installation of a greenfield plant (note that this can be assigned only if the installation is not an incumbent, and only for one sub-installation);</t>
  </si>
  <si>
    <t>significant capacity extension;</t>
  </si>
  <si>
    <t>significant capacity reduction;</t>
  </si>
  <si>
    <t>partial cessation;</t>
  </si>
  <si>
    <t>return after partial cessation.</t>
  </si>
  <si>
    <t>In the column "starting date" the "start of normal operation" as defined by Article 3(n) for the first sub-installation of greenfield plants, or the "start of changed operation" as defined by Article 3(o) is to be entered for significant capacity changes. In case of partial cessation or recovery thereafter, no date is required.</t>
  </si>
  <si>
    <t>first sub-installation of a greenfield plant;</t>
  </si>
  <si>
    <t>Values to be entered must refer to the final added or reduced allocation rather than the new total allocation. Thus, if a sub-installation has received 10,000 allowances under the NIMS and additional 2,000 allowances as consequence of a significant capacity extension, those 2,000 are to be entered in the table below. If the capacity is significantly reduced, e.g. by 4,000 allowances per year, this fact has to be entered as "-4000" in the table.</t>
  </si>
  <si>
    <t>Final means allocation values with either the linear factor or the cross-sectoral correction factor applied, as appropriate.</t>
  </si>
  <si>
    <t>Electricity useable</t>
  </si>
  <si>
    <t>You can choose the method for entering the values in the table below under point (c). Available options are: "Absolute values" (enter TJ/year), or "percentages".</t>
  </si>
  <si>
    <t>EUconst_MWhpa</t>
  </si>
  <si>
    <t>EUconst_tpa</t>
  </si>
  <si>
    <t>EUconst_GJpt</t>
  </si>
  <si>
    <t>EUconst_tCO2pTJ</t>
  </si>
  <si>
    <t>EUconst_tCO2pa</t>
  </si>
  <si>
    <t>EUconst_tCO2pt</t>
  </si>
  <si>
    <t>EUconst_TJpa</t>
  </si>
  <si>
    <t>EUconst_tN2Opa</t>
  </si>
  <si>
    <t>EUconst_tCO2eptN2O</t>
  </si>
  <si>
    <t>EUconst_tCO2epa</t>
  </si>
  <si>
    <t>EUconst_min</t>
  </si>
  <si>
    <t>EUconst_minpcelld</t>
  </si>
  <si>
    <t>EUconst_unitSlopeF</t>
  </si>
  <si>
    <t>EUconst_mV</t>
  </si>
  <si>
    <t>EUconst_unitOvervoltF</t>
  </si>
  <si>
    <t>EUconst_unitRelPFC</t>
  </si>
  <si>
    <t>EUconst_tCO2ept</t>
  </si>
  <si>
    <t>EUconst_relOrTJpa</t>
  </si>
  <si>
    <t>In case you report significant capacity changes you have to report the changed capacity in the relevant sections in sheets C, F and G, as applicable. In case you report partial cessations or recoveries after partial cessation, only data in the relevant sections in sheet B are required.</t>
  </si>
  <si>
    <t>Please identify in this section, which sub-installations of your installation are affected by this application. Also new-sub-installations can be identified. Where sub-installations are removed, a "significant capacity reduction" is to be selected.</t>
  </si>
  <si>
    <t>controls</t>
  </si>
  <si>
    <t>Version:</t>
  </si>
  <si>
    <t>Info for automatic Version detection</t>
  </si>
  <si>
    <t>Template type:</t>
  </si>
  <si>
    <t>Type list:</t>
  </si>
  <si>
    <t>Language:</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</si>
  <si>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</si>
  <si>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</si>
  <si>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</si>
  <si>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</si>
  <si>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</si>
  <si>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</si>
  <si>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</si>
  <si>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</si>
  <si>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</si>
  <si>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</si>
  <si>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</si>
  <si>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</si>
  <si>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</si>
  <si>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</si>
  <si>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</si>
  <si>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</si>
  <si>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</si>
  <si>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</si>
  <si>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</si>
  <si>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</si>
  <si>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</si>
  <si>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</si>
  <si>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</si>
  <si>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EUconst_CNTR_nonETSMeasHeat</t>
  </si>
  <si>
    <t>non-ETS measurable heat</t>
  </si>
  <si>
    <t>Heat Inputs</t>
  </si>
  <si>
    <t>Ratio of "ETS heat" to "Total heat"</t>
  </si>
  <si>
    <t>Heat not falling under heat benchmark sub-installations</t>
  </si>
  <si>
    <t>The operator of this installation confirms that this report may be used by the competent authority and the European Commission.</t>
  </si>
  <si>
    <t>The remaining eligible amount can then be attributed to the both heat benchmark sub-installations. Heat losses are displayed for the purpose of completeness.</t>
  </si>
  <si>
    <t>HAL96_capacity_</t>
  </si>
  <si>
    <t>HAL96_RCUF_</t>
  </si>
  <si>
    <t>EUconst_HAL96capacity</t>
  </si>
  <si>
    <t>EUconst_HAL96RCUF</t>
  </si>
  <si>
    <t>EUconst_Error</t>
  </si>
  <si>
    <t>ERR_</t>
  </si>
  <si>
    <t xml:space="preserve">Drying or calcination of gypsum or production of plaster boards and other gypsum products, where combustion units with a total rated thermal input exceeding 20 MW are operated </t>
  </si>
  <si>
    <t>Plaster</t>
  </si>
  <si>
    <t>Dried secondary gypsum</t>
  </si>
  <si>
    <t>Plasterboard</t>
  </si>
  <si>
    <t>reduction of metalloid oxides and non-metal oxides</t>
  </si>
  <si>
    <t>Recovered paper pulp</t>
  </si>
  <si>
    <t>Is the installation an electricity generator pursuant to Article 3(u) of the Directive?</t>
  </si>
  <si>
    <t>Installation is eligible for free allocation under Article 10a of the EU ETS Directive:</t>
  </si>
  <si>
    <t>Measurable heat consumed for product benchmark sub-installations within the installation  (not eligible for heat benchmark):</t>
  </si>
  <si>
    <t>As default, it is assumed that the whole amount of heat used for electricity production is split between eligible and non-eligible inputs using the ratio calculated under (e).</t>
  </si>
  <si>
    <t>Point ii in relation to point i:</t>
  </si>
  <si>
    <t>Sub-total: remaining total measurable heat, potentially belonging to heat benchmark sub-installations (=d-f-g-h):</t>
  </si>
  <si>
    <t>Eligibility ratio for the remaining heat calculated under (i):</t>
  </si>
  <si>
    <t>corrected eligibility ratio (=(i).ii / (i).i):</t>
  </si>
  <si>
    <t>This is consumption within the installation excluding for purposes listed in points (f) and (g).</t>
  </si>
  <si>
    <t>Heat losses (=i-k-l)</t>
  </si>
  <si>
    <t>Heat losses (calculated)</t>
  </si>
  <si>
    <t>This table shows calculated heat losses (i.e. the amount of heat not covered by points f,g,h,k and l) for reasons of completeness of the heat balance.</t>
  </si>
  <si>
    <t>If negative values are displayed this means that the heat consumption levels entered above exceed the amount of heat available from production and imports.</t>
  </si>
  <si>
    <t>Heat losses (fraction of heat available =d)</t>
  </si>
  <si>
    <t>Total amount of heat potentially part of the heat benchmark sub-installations (=k+l):</t>
  </si>
  <si>
    <t>This result is calculated as point (n) multiplied with the corrected eligibility ratio determined under (j).</t>
  </si>
  <si>
    <t>The maximum allowed value is the eligible amount identified under point (i).i.</t>
  </si>
  <si>
    <t>You can choose the method for entering the values in the table below under point (q). Available options are: "Absolute values" (enter TJ/year), or "percentages".</t>
  </si>
  <si>
    <t>Please identify here the amount of measurable heat which is consumed by each sub-installation, where 100% refers to the sum calculated under point (o) above.</t>
  </si>
  <si>
    <t>Plausibility check: Sum of electricity input in sheet "F_ProductBM" for exchangability of electricity</t>
  </si>
  <si>
    <t>Electricity entered as exchangeable</t>
  </si>
  <si>
    <t>Compare to (e)</t>
  </si>
  <si>
    <t>Fraction of HAL (G.I.2.k)</t>
  </si>
  <si>
    <t>First GHG permit received when the installation was included in the ETS for the first time:</t>
  </si>
  <si>
    <t>iv.</t>
  </si>
  <si>
    <t>Name of Competent authority:</t>
  </si>
  <si>
    <t>Please list here all relevant documents which are submitted together with this report</t>
  </si>
  <si>
    <t>Documents supporting this report</t>
  </si>
  <si>
    <t>Please provide file name(s) (if in an electronic format) or document reference number(s) (if hard copy) below:</t>
  </si>
  <si>
    <t>File name/Reference</t>
  </si>
  <si>
    <t>Document description</t>
  </si>
  <si>
    <t>Additional documents will be needed to support this report. Please provide this information in an electronic format wherever possible.</t>
  </si>
  <si>
    <t>You can provide information as Microsoft Word, Excel, or Adobe Acrobat formats.</t>
  </si>
  <si>
    <t>Number</t>
  </si>
  <si>
    <t>Product name, or "district heating"</t>
  </si>
  <si>
    <t>EUconst_FuelUseTypes</t>
  </si>
  <si>
    <t>NACE codes can be used instead of PRODCOM if several similar products within the same NACE group are covered.</t>
  </si>
  <si>
    <t>0 &lt;= Ratio &lt;=1 !</t>
  </si>
  <si>
    <t>Electricity generator:</t>
  </si>
  <si>
    <t>CCS Installation:</t>
  </si>
  <si>
    <t>Installation covered by Art. 10a(3) of the ETS Directive:</t>
  </si>
  <si>
    <t>Installation produces Heat:</t>
  </si>
  <si>
    <t>The installation is neither electricity generator nor CCS installation; or</t>
  </si>
  <si>
    <t>The operator has confirmed that he applies for allocation of allowances free of charge (Section A.II.1.f).</t>
  </si>
  <si>
    <t>The operator has confirmed that the competent authority and the European Commission may use the data contained in this report (Section A.II.1.g).</t>
  </si>
  <si>
    <t>incumbents that have already reported significant changes with a start of changed operation after 30 June 2011 prior to this current application, and</t>
  </si>
  <si>
    <t>Eligibility &amp; Cessation</t>
  </si>
  <si>
    <t>Optionally (for consistency checking) the process emissions associated with these waste gas amounts should be reported.</t>
  </si>
  <si>
    <t>The Commission has provided a guidance paper to identify electricity generators.</t>
  </si>
  <si>
    <t>If no further data is to be reported, there is also no need for verification of this report.</t>
  </si>
  <si>
    <t>Electricity exported</t>
  </si>
  <si>
    <t>EUconst_ConnectionTransferTypes</t>
  </si>
  <si>
    <t>Name of contact person</t>
  </si>
  <si>
    <t>Installation ID used in CITL</t>
  </si>
  <si>
    <t>Please enter here further information regarding those connected installations, if relevant:</t>
  </si>
  <si>
    <t>EUconst_ConnectionShortTypes</t>
  </si>
  <si>
    <t>Heat</t>
  </si>
  <si>
    <t>CO2</t>
  </si>
  <si>
    <t>For the reinery benchmark, which also uses CWT, please use the specific CWT tool for refineries above (section I of this sheet).</t>
  </si>
  <si>
    <t>The eligible amount will be determined as the difference between the sum of all entries here (xv. to xx.) and the emissions related to electricity production (xv.)</t>
  </si>
  <si>
    <t>The following data is taken automatically from sheet "D_Emissions", section D.II.b or sheet "E_EnergyFlows", section E.I.1.c or section E.II.q. Thus, data input is mandatory there.</t>
  </si>
  <si>
    <t>For further guidance please consult the Annex to Guidance Document 7 on the calculation of correction factors.</t>
  </si>
  <si>
    <t>Partial cessations of operations and/or recovery from partial cessations (Article 23 of the CIMs)</t>
  </si>
  <si>
    <t xml:space="preserve">Distillate / Gasoil Hydrocracking </t>
  </si>
  <si>
    <t>Production or processing of non-ferrous metals, including production of alloys, refining, foundry casting, etc., where combustion units with a total rated thermal input (including fuels used as reducing agents) exceeding 20 MW are operated</t>
  </si>
  <si>
    <t>Capture of greenhouse gases from installations covered by this Directive for the purpose of transport and geological storage in a storage site permitted under Directive 2009/31/EC</t>
  </si>
  <si>
    <t>Data resulting from input under "Source streams" (Sheets B and C) or from Emissions summary (section D.I)</t>
  </si>
  <si>
    <t>Eligibility for free allocation (section A.II.1):</t>
  </si>
  <si>
    <t>Determination of the initial installed capacity</t>
  </si>
  <si>
    <t>EUconst_CNTR_CAPINI</t>
  </si>
  <si>
    <t>EUconst_CNTR_CAPNEW</t>
  </si>
  <si>
    <t>CAPINI_</t>
  </si>
  <si>
    <t>CAPNEW_</t>
  </si>
  <si>
    <t>Heat eligible for heat benchmark sub-installations</t>
  </si>
  <si>
    <t>All dates must be after 30 June 2011!</t>
  </si>
  <si>
    <t>Plausibility check:</t>
  </si>
  <si>
    <t>IV</t>
  </si>
  <si>
    <t>Fuel type description</t>
  </si>
  <si>
    <t xml:space="preserve">Emission factor </t>
  </si>
  <si>
    <r>
      <t>(tCO</t>
    </r>
    <r>
      <rPr>
        <b/>
        <vertAlign val="subscript"/>
        <sz val="9"/>
        <rFont val="Times New Roman"/>
        <family val="1"/>
      </rPr>
      <t>2</t>
    </r>
    <r>
      <rPr>
        <b/>
        <sz val="9"/>
        <rFont val="Times New Roman"/>
        <family val="1"/>
      </rPr>
      <t>/TJ)</t>
    </r>
  </si>
  <si>
    <t>Net Calorific Value</t>
  </si>
  <si>
    <t>(TJ/Gg)</t>
  </si>
  <si>
    <t>Further installation data:</t>
  </si>
  <si>
    <t>EUconst_CNTR_HAL</t>
  </si>
  <si>
    <t>HAL_</t>
  </si>
  <si>
    <t>EUconst_CNTR_ELEXCH</t>
  </si>
  <si>
    <t>ELEXCH_</t>
  </si>
  <si>
    <t>http://ec.europa.eu/eurostat/ramon/nomenclatures/index.cfm?TargetUrl=LST_CLS_DLD&amp;StrNom=NACE_REV2&amp;StrLanguageCode=EN&amp;StrLayoutCode=HIERARCHIC</t>
  </si>
  <si>
    <t xml:space="preserve">PRODCOM / NACE codes shall be entered at at least 4-digit level, with higher disaggregation (i.e. more digits) preferred, in the form "nnnn" or "nnnnnnnn", i.e. without any dots or other delimiters inbetween. PRODCOM 2007 (used for determining the carbon leakage list (Decision 2010/2/EU) and thus relevant for the CIMs Annex I) is mandatory, while PRODCOM 2010 codes are optional. </t>
  </si>
  <si>
    <t>Hydrogen related emissions: I.e. historical heat consumption from hydrogen combustion multiplied with 56.1 t CO2/TJ.</t>
  </si>
  <si>
    <t>The direct emissions attributed to this sub-installation;</t>
  </si>
  <si>
    <t>This tool helps you determine the preliminary allocation for the vinyl chloride monomer ("VCM") sub-installation (Article 12 of the CIMs).</t>
  </si>
  <si>
    <t>Vinyl chloride monomer (VCM)</t>
  </si>
  <si>
    <t>Please enter here the data required as outlined above.</t>
  </si>
  <si>
    <t>EUconst_RatioRange</t>
  </si>
  <si>
    <t>EUconst_Manual</t>
  </si>
  <si>
    <t>Manual input!</t>
  </si>
  <si>
    <t xml:space="preserve">Fuel input to electricity production                   </t>
  </si>
  <si>
    <t>For significant capacity extensions it will be checked if the capacity is increased by at least 10 %. For reductions it will be checked if the capacity is decreased by at least 10 %.</t>
  </si>
  <si>
    <t>The quotient of the capacity and the design capacity will be calculated for plausibility checks. In case of extensions this capacity is the added capacity, in case of reductions it is the remaining capacity.</t>
  </si>
  <si>
    <t>Final free allocation calculated for incumbents</t>
  </si>
  <si>
    <t>These values are in accordance with Article 10 (9) or 19 (5) of the CIMs, whatever relevant. Partial cessations (Article 23) are not considered here.</t>
  </si>
  <si>
    <t>Latest final allocation without adjustment factors</t>
  </si>
  <si>
    <t>Latest final annual amount of allowances allocated free of charge prior to this current application</t>
  </si>
  <si>
    <t>EUconst_ERR_PartialCessation</t>
  </si>
  <si>
    <t>EUconst_ERR_FirstSub</t>
  </si>
  <si>
    <t>EUconst_ERR_NewSub</t>
  </si>
  <si>
    <t>In case the installation is a greenfield plant please attribute here the independently verified emissions in the period prior to the start of normal operation to the relevant sub-installations.</t>
  </si>
  <si>
    <t>installations that are not incumbents but have already reported a start of normal operation after 30 June 2011 prior to this current application, and</t>
  </si>
  <si>
    <t>all installations that have already reported partial cessation or recovery from partial cessation prior to this current application</t>
  </si>
  <si>
    <t>NIMs Article 9(9)</t>
  </si>
  <si>
    <t>Latest change Article 17(4)</t>
  </si>
  <si>
    <t>History of changes of the activity level</t>
  </si>
  <si>
    <t>This value is calculated automatically from your entries above.</t>
  </si>
  <si>
    <t>e.g. The start of changed operation is 15 March. The new capacity would be based on the 2 highest monthly activity levels in the period April to September.</t>
  </si>
  <si>
    <t>Cessation of operations</t>
  </si>
  <si>
    <t xml:space="preserve">According to Art. 22(1) of the CIMs: “An installation is deemed to have ceased operations, where any of the following is met: </t>
  </si>
  <si>
    <t>If this sub-installation is the first sub-installation of a greenfield plant to start normal operation the value calculated here is the average of the two highly monthly activity levels above times 12.</t>
  </si>
  <si>
    <t>Note that this value is not relevant and will be left empty in case this sub-installation is the first sub-installation of a greenfield plant to start normal operation.</t>
  </si>
  <si>
    <t>e.g. The start of normal operation is 15 March. The initial capacity would be based on either:
- the 2 highest 30-day activity levels in the 90 days starting and including 15 March
- the 2 highest monthly activity levels in the months April and May.</t>
  </si>
  <si>
    <t>Is exchangeability of electricity and heat relevant for this sub-installation?</t>
  </si>
  <si>
    <t>Euconst_CessationReason</t>
  </si>
  <si>
    <t>EUconst_ConfirmCessation</t>
  </si>
  <si>
    <t>Confirmation of cessation of operations</t>
  </si>
  <si>
    <t>Where an installation has ceased operation, the Member State concerned shall not issue emission allowances to this installation as of the year following the cessation of operations in accordance with Article 22(3) of the CIMs. If this is relevant for your installation, please confirm here:</t>
  </si>
  <si>
    <t>EUconst_ERR_CessationIteme</t>
  </si>
  <si>
    <t>Note that item e) is not applicable to installations that are kept in reserve or standby and installations which are operated on a seasonal schedule.</t>
  </si>
  <si>
    <t>Item e) is not applicable to installations that are kept in reserve or standby and installations which are operated on a seasonal schedule.</t>
  </si>
  <si>
    <t>a) The greenhouse gas emissions permit, the permit in force in accordance with Directive 2008/1/EC or any other relevant environmental permit has expired</t>
  </si>
  <si>
    <t>The remaining days in the calendar year the installation started normal operation or a sub-installation started changed operation</t>
  </si>
  <si>
    <t>Initial installed capacity before the significant changes reported for the current application</t>
  </si>
  <si>
    <t>New installed capacity after the significant changes reported for the current application</t>
  </si>
  <si>
    <t>Relevant C</t>
  </si>
  <si>
    <t>Please enter also data in section D.II.3.a.!</t>
  </si>
  <si>
    <t>EUconst_ERR_MandatoryDII3a</t>
  </si>
  <si>
    <t>EUconst_ERR_MandatoryEII4</t>
  </si>
  <si>
    <t>Please enter also data in section E.II.4!</t>
  </si>
  <si>
    <t>Complete balance of electricity at the installation</t>
  </si>
  <si>
    <t>Other electricity production includes e.g. hydro, wind, solar power, from expansion turbines and other non-ETS processes.</t>
  </si>
  <si>
    <t>Total electricity consumed in the installation</t>
  </si>
  <si>
    <t>Total electricity available for use in the installation (= a+b-c)</t>
  </si>
  <si>
    <t>Electricity consumed in the installation</t>
  </si>
  <si>
    <t>Jump indicator</t>
  </si>
  <si>
    <t>Please use electricity exchangeability tool below.</t>
  </si>
  <si>
    <t>EUconst_MsgUseElExchTool</t>
  </si>
  <si>
    <t>Verifier engaged for the data provided in this application:</t>
  </si>
  <si>
    <t>Name and address of the verifier:</t>
  </si>
  <si>
    <t>Information on this application</t>
  </si>
  <si>
    <t>Important note: In cases of significant capacity changes, which are reported with this template, the answers in this section should refer to the situation AFTER that significant capacity change.</t>
  </si>
  <si>
    <t>The operator of this installation confirms that the installation is not eligible for free allocation under Article 10a of the EU ETS Directive.</t>
  </si>
  <si>
    <t>The operator of this installation confirms that an application for a change of the amount of free allocation under Article 10a of the EU ETS Directive is hereby filed.</t>
  </si>
  <si>
    <t>The data contained in this file will be used by the competent authority for determining the free allocation pursuant to Article 10a of the EU ETS Directive, or any change to the amount of earlier allocation decisions. Furthermore these data will be notified to the European Commission in part or as a whole, in line with Article 24(2) of the CIMs.</t>
  </si>
  <si>
    <t>Energy input from fuels</t>
  </si>
  <si>
    <t>Overview and split into use categories</t>
  </si>
  <si>
    <t>EUconst_AbsRel</t>
  </si>
  <si>
    <t>Absolute values</t>
  </si>
  <si>
    <t>Percentages</t>
  </si>
  <si>
    <t>Input method:</t>
  </si>
  <si>
    <t>Method A = Slope method</t>
  </si>
  <si>
    <t>Method B = Overvoltage method</t>
  </si>
  <si>
    <t>EUconst_PFCmethods</t>
  </si>
  <si>
    <t>EUconst_tCO2pTJorT</t>
  </si>
  <si>
    <t>Coated fine paper</t>
  </si>
  <si>
    <t>Tissue</t>
  </si>
  <si>
    <t>Testliner and fluting</t>
  </si>
  <si>
    <t>Uncoated carton board</t>
  </si>
  <si>
    <t>Coated carton board</t>
  </si>
  <si>
    <t>This tool helps you determine the HAL (historical activity levels) for the lime benchmark (Annex III point 2 of the CIMs)</t>
  </si>
  <si>
    <t>content of free MgO in the produced dolime in each year of the baseline period expressed as mass-%</t>
  </si>
  <si>
    <t>This tool helps you determine the HAL (historical activity levels) for the steam cracking benchmark (Annex III point 4 of the CIMs).</t>
  </si>
  <si>
    <t>Tool for calculating the historical activity levels for aromatics sub-installations</t>
  </si>
  <si>
    <t>Please note that percentages for hydrogen content are to be expresed as Vol-%.</t>
  </si>
  <si>
    <t>Criterion fulfilled</t>
  </si>
  <si>
    <t>If these situations are not relevant for this application, the next sheets are not relevant and you can proceed to sheet "K_Summary" immediately.</t>
  </si>
  <si>
    <t>Please enter here the date of technical start-up of the installation in case the installation is a greenfield plant or of the sub-installation after the physical change.</t>
  </si>
  <si>
    <t>This installation is considered as covered by Article 10a(3) of the EU ETS Directive:</t>
  </si>
  <si>
    <t xml:space="preserve">If the answer to (a) or (b) was positive, the answer to (c) is automatically positive. </t>
  </si>
  <si>
    <t>EUconst_ConfirmationNotEligible</t>
  </si>
  <si>
    <t>Application for free allocation:</t>
  </si>
  <si>
    <t>EUconst_ConfirmApplicationForAlloc</t>
  </si>
  <si>
    <t>If you have entered that no significant capacity changes are relevant for this current application and the installation is not a greenfield plant but only cessation in accordance with Article 22 or partial cessations in accordance with Article 23 occurred, you are not required to engage a verifier for this application.</t>
  </si>
  <si>
    <t>Please enter here the type(s) of allocation change(s) you are applying for.</t>
  </si>
  <si>
    <t>Types of allocation changes relevant for this application</t>
  </si>
  <si>
    <t>Entries here will trigger conditional formats guiding you through the document.</t>
  </si>
  <si>
    <t>If the installation is a greenfield plant, point (c) below is not relevant.</t>
  </si>
  <si>
    <t>If only partial cessations are relevant, i.e. no significant capacity changes occurred, you are only required to fill in this sheet and then you can move on to the summary.</t>
  </si>
  <si>
    <t>Type of changes</t>
  </si>
  <si>
    <t>Relevant sheets and sections in this template</t>
  </si>
  <si>
    <t>Please note that depending on your entries further sections might become not relevant and will be shaded.</t>
  </si>
  <si>
    <t>This message is automatically generated based if significant changes of this sub-installation are relevant or if the installation is a greenfield.</t>
  </si>
  <si>
    <t>EUconst_SubInstallation</t>
  </si>
  <si>
    <t>Please note that percentages for Hydrogen content are to be expresed as Vol-%.</t>
  </si>
  <si>
    <t>Under which NACE code has your company reported value added for structural business statistics?</t>
  </si>
  <si>
    <t xml:space="preserve">NACE rev 1.1 can be found here: </t>
  </si>
  <si>
    <t>Flow direction</t>
  </si>
  <si>
    <t>phone number</t>
  </si>
  <si>
    <t>email address</t>
  </si>
  <si>
    <t>Installation covered by ETS</t>
  </si>
  <si>
    <t>Installation outside ETS</t>
  </si>
  <si>
    <t>Heat distribution network</t>
  </si>
  <si>
    <t>Waste gas</t>
  </si>
  <si>
    <t>transferred CO2 (CCS)</t>
  </si>
  <si>
    <t>EUconst_ConnectedEntityTypes</t>
  </si>
  <si>
    <t>EUconst_ConnectionTypes</t>
  </si>
  <si>
    <t>Import</t>
  </si>
  <si>
    <t>Export</t>
  </si>
  <si>
    <t>Date of issuance:</t>
  </si>
  <si>
    <t>Permit-ID:</t>
  </si>
  <si>
    <t>Most recent update of the permit, if applicable:</t>
  </si>
  <si>
    <t>Please nominate persons here whom the competent authority can contact in case of questions regarding this report, including its verification.</t>
  </si>
  <si>
    <t>The nominated person should be familiar with this report. Ideally it is the lead verifier involved with this report.</t>
  </si>
  <si>
    <t>Type of applications (section A.II.1):</t>
  </si>
  <si>
    <t>EUconst_MsgNewEntrant</t>
  </si>
  <si>
    <t>The installation is a greenfield and applies for allocation as a new entrant in accordance with Article 17 of the CIMs.</t>
  </si>
  <si>
    <t>Please note that only emissions attributed to the relevant sub-installations are eligible.</t>
  </si>
  <si>
    <t>If the heat amounts can be clearly earmarked (because of the heat grid connections being clearly defined, or because of the steam pressure levels etc.), eligible and non-eligible heat amounts shall be reported according to this real situation.</t>
  </si>
  <si>
    <t>For electricity production, heat consumption is split according to the ratio displayed under point (e), unless the amount of heat from non-eligible sources is manually input under (f).iii.</t>
  </si>
  <si>
    <t>(b)</t>
  </si>
  <si>
    <t>Column Index:</t>
  </si>
  <si>
    <t>Memo-Item: Biomass emissions</t>
  </si>
  <si>
    <t>Point iii in relation to point (c) above:</t>
  </si>
  <si>
    <t>Please make sure that you check this section again after completing the sheet "F_ProductBM", if applicable, in order to avoid non-plausible inputs.</t>
  </si>
  <si>
    <t>Heat benchmark sub-installations:</t>
  </si>
  <si>
    <t>Final result: Amount of heat attributable to heat benchmark sub-installations</t>
  </si>
  <si>
    <t>3. If the list is too short, the list can be extended by inserting additional rows (not individual cells) BEFORE the "&lt;end of list&gt;" marker</t>
  </si>
  <si>
    <r>
      <t xml:space="preserve">4. As a final step it should be checked if the grey area is identical to the defined Name: </t>
    </r>
    <r>
      <rPr>
        <b/>
        <sz val="10"/>
        <color indexed="10"/>
        <rFont val="Arial"/>
        <family val="2"/>
      </rPr>
      <t>MSconst_FuelCategoryList</t>
    </r>
  </si>
  <si>
    <t>NACE code reported for the year 2007 using NACE rev 1.1 classification:</t>
  </si>
  <si>
    <t>NACE code reported for the year 2010 using NACE rev 2 classification:</t>
  </si>
  <si>
    <t>You will receive an error message if you do not enter exactly 4 digits.</t>
  </si>
  <si>
    <t>Some capacity extensions will be modifications to existing equipment. It may then be difficult for the operator to provide the required activity level data related to the added design capacity only. In such cases, the activity level attributed to the added capacity is determined by the total activity level of the relevant sub-installation (ALtotal) minus the average activity level in calendar years (not earlier than 2005) prior to the physical change in the table below under point (e).</t>
  </si>
  <si>
    <t>You can choose the method for entering data in the table below under point (e). Available options are: "Total activity" or "Related to added capacity".</t>
  </si>
  <si>
    <t>Choose at least one new sub-installation !</t>
  </si>
  <si>
    <t>Entries in this table are required to determine the start of normal or changed operation and whether the 40% threshold has been exceeded.</t>
  </si>
  <si>
    <t>Please enter in the first column all dates that are part of the 90 day period.</t>
  </si>
  <si>
    <t>Notes for significant extensions:</t>
  </si>
  <si>
    <t>HAL99init_</t>
  </si>
  <si>
    <t>EUconst_HAL99initial</t>
  </si>
  <si>
    <t>EUconst_HAL99changed</t>
  </si>
  <si>
    <t>HAL99change_</t>
  </si>
  <si>
    <t>EUconst_HAL99total</t>
  </si>
  <si>
    <t>HAL99total_</t>
  </si>
  <si>
    <t>Rest</t>
  </si>
  <si>
    <t>The RELEVANT electricity consumption of this sub-installation as specified in the definition of processes in Annex I of the CIMs.</t>
  </si>
  <si>
    <t>production of mechanical energy, heating or cooling (all uses excluding production of electricity);</t>
  </si>
  <si>
    <t>mechanical energy</t>
  </si>
  <si>
    <t>However, if more precise information is available (e.g. because steam from different sources can be distinguished due to different pressure levels, etc), you can enter alternative amounts of "non-eligible" heat below. If that amount exceeds the amount stated in (c).iv, the available maximum is used for further calculation.</t>
  </si>
  <si>
    <t xml:space="preserve">In particluar, for heat benchmark sub-installations only the amount of measurable heat is to be reported which is produced within the installation or imported from installations covered by the ETS, and which is consumed within the installation's boundaries for the production of products, for the production of mechanical energy other than used for the production of electricity, for heating or cooling with the exception of the consumption for the production of electricity, or which is exported to an installation or other entity not covered by the Union scheme with the exception of the export for the production of electricity.
</t>
  </si>
  <si>
    <t>E.II.1.n !</t>
  </si>
  <si>
    <t>According to Article 14 of the CIMs the following data is needed:</t>
  </si>
  <si>
    <t>Parameter</t>
  </si>
  <si>
    <t>Heat input ratio (a+b) / (a+b+c):</t>
  </si>
  <si>
    <t>Outline of the calculation approach used:</t>
  </si>
  <si>
    <t>Measurable heat consumed for electricity production within the installation (not eligible for heat benchmark):</t>
  </si>
  <si>
    <t xml:space="preserve">Residual Hydrocracking </t>
  </si>
  <si>
    <t xml:space="preserve">Kerosene/ Diesel Hydrotreating </t>
  </si>
  <si>
    <t xml:space="preserve">Residual Hydrotreating </t>
  </si>
  <si>
    <t xml:space="preserve">Hydrogen Production </t>
  </si>
  <si>
    <t xml:space="preserve">Alkylation </t>
  </si>
  <si>
    <t xml:space="preserve">Oxygenate Production </t>
  </si>
  <si>
    <t xml:space="preserve">Propylene Production </t>
  </si>
  <si>
    <t xml:space="preserve">Lube Hydrocracker </t>
  </si>
  <si>
    <t xml:space="preserve">Wax Deoiling </t>
  </si>
  <si>
    <t xml:space="preserve">Lube/Wax Hydrotreating </t>
  </si>
  <si>
    <t>CWT (Refinery products)</t>
  </si>
  <si>
    <t>Tool for calculating the historical activity levels for refinery sub-installations</t>
  </si>
  <si>
    <t>CWT througput data</t>
  </si>
  <si>
    <t>Please enter here the annual throughput data for each CWT function.</t>
  </si>
  <si>
    <t>For the basis the following abbreviations are used:</t>
  </si>
  <si>
    <t>Net fresh feed</t>
  </si>
  <si>
    <t>Reactor feed (includes recycle)</t>
  </si>
  <si>
    <t>Product feed</t>
  </si>
  <si>
    <t>HAL99deltaC_</t>
  </si>
  <si>
    <t>EUconst_CNTR_HALspecial</t>
  </si>
  <si>
    <t>From sheet "H_SpecialBM":</t>
  </si>
  <si>
    <t>Values used for calculation:</t>
  </si>
  <si>
    <t>EUconst_BM</t>
  </si>
  <si>
    <t>Benchmark</t>
  </si>
  <si>
    <t>Electricity</t>
  </si>
  <si>
    <t>Total net amount of electricity produced in the installation</t>
  </si>
  <si>
    <t>Total electricity imported from the grid or from other installations</t>
  </si>
  <si>
    <t>Electricity imported</t>
  </si>
  <si>
    <t>Total electricity exported to the grid or to other installations</t>
  </si>
  <si>
    <t>Other electricity produced</t>
  </si>
  <si>
    <t xml:space="preserve">PRODCOM / NACE codes shall be entered at least at 4-digit level, with higher disaggregation (i.e. more digits) preferred, in the form "nnnn" or "nnnnnnnn", i.e. without any dots or other delimiters inbetween. PRODCOM 2007 (used for determining the carbon leakage list (Decision 2010/2/EU) and thus relevant for the CIMs Annex I) and 2010 are mandatory. </t>
  </si>
  <si>
    <t>Please enter here a brief description of the physical change(s)</t>
  </si>
  <si>
    <t>For significant changes, the value calculated here is taken from entries in sheet A section V. Therefore inputs are mandatory there.</t>
  </si>
  <si>
    <t>The result of this tool is used in sheet "F_ProductBM", input line (b).ii of the appropriate sub-installation, from which the median is calculated.</t>
  </si>
  <si>
    <t>However, if a message appears under point (c), the appropriate calculation tool has to be used, and its results are automatically copied into this table under (iii).</t>
  </si>
  <si>
    <t>In case of significant changes the two highest months out of the six month after the start of changed operation are used for further calculations.</t>
  </si>
  <si>
    <t>e.g. The start of normal operation of a greenfield plant is 15 March. The initial capacity would be based on either:</t>
  </si>
  <si>
    <t>e.g. The start of changed operation after a significant capacity change is 15 March. The new capacity would be based on the 2 highest monthly activity levels in the period April to September.</t>
  </si>
  <si>
    <t>Please enter here the latest preliminary annual number of emission allowances allocated free of charge for this sub-installation before the change.</t>
  </si>
  <si>
    <t>initial installed capacity in case this sub-installation is the first sub-installation of a greenfield plant to start normal operation.</t>
  </si>
  <si>
    <t>Please note that if you apply for significant capacity reductions the electricity generator status under II.1.a above has to be provided.</t>
  </si>
  <si>
    <t>Existing sub-installations</t>
  </si>
  <si>
    <t>Disclaimer: According to Article 19(1) of the CIMs, Member States are required to calculate the preliminary annual number of emission allowances allocated free of charge. The results displayed in the previous chapter and here are therefore indicative only. No warranty, either express or implied, is provided in relation to the accuracy, completeness or reliability of the result. No rights or entitlement to a certain amount of allowances can be derived from the result displayed in this template. For correctness of calculations please see also the disclaimer in the sheet "Guidelines and conditions".</t>
  </si>
  <si>
    <t>Sheet "A_InstallationData" is filled completely, especially sections A.II to A.V.</t>
  </si>
  <si>
    <t>In this section you can see a summary of allocation values for the years 2013 to 2020 which apply to this installation, and which are based on the data entered in the previous sections. The displayed information does not contain any completeness checks. Therefore, the data can only be considered correct if you have ensured that the following conditions are met:</t>
  </si>
  <si>
    <t>BM value or factor</t>
  </si>
  <si>
    <t>c) Operation of the installation is technically impossible</t>
  </si>
  <si>
    <t>In the column "Type of entity" the following options can be selected:</t>
  </si>
  <si>
    <t>Please list this fact even if the nitric acid production is part of your own installation, not only if your installation is connected to such installation.</t>
  </si>
  <si>
    <t>Special case: Nitric acid production:</t>
  </si>
  <si>
    <t>EUconst_HCUFmissing</t>
  </si>
  <si>
    <t>HCUF entry is missing!</t>
  </si>
  <si>
    <t>Automatic calculation (to be found in the menu Tools/Options) must be turned on.</t>
  </si>
  <si>
    <t>Starting date</t>
  </si>
  <si>
    <t>No. of Activity</t>
  </si>
  <si>
    <t>Please use CWT tool in sheet "SpecialBM" for calculating historical activity levels.</t>
  </si>
  <si>
    <t>Please use lime tool in sheet "SpecialBM" for calculating historical activity levels.</t>
  </si>
  <si>
    <t>Please use dolime tool in sheet "SpecialBM" for calculating historical activity levels.</t>
  </si>
  <si>
    <t>Note that for integrated pulp &amp; paper production special allocation rules apply (Article 10(7) of the CIMs).</t>
  </si>
  <si>
    <t>Please use ethylene oxide / glycols tool in sheet "SpecialBM" for calculating historical activity levels.</t>
  </si>
  <si>
    <t>Please use hydrogen tool in sheet "SpecialBM" for calculating historical activity levels.</t>
  </si>
  <si>
    <t>Please use syngas tool in sheet "SpecialBM" for calculating historical activity levels.</t>
  </si>
  <si>
    <t>EUconst_BaselinePeriods</t>
  </si>
  <si>
    <t>2005-2008</t>
  </si>
  <si>
    <t>2009-2010</t>
  </si>
  <si>
    <t>Every sub-installation name may occur only once. Otherwise some parts of this template will not function properly.</t>
  </si>
  <si>
    <t>Attribution of emissions to sub-installations</t>
  </si>
  <si>
    <t>Relevant electricity consumption</t>
  </si>
  <si>
    <t>Total direct emissions</t>
  </si>
  <si>
    <t>Indirect emissions</t>
  </si>
  <si>
    <t>Factor for allocation correction:</t>
  </si>
  <si>
    <t>EUconst_HeatBMvalue</t>
  </si>
  <si>
    <t>EUconst_ElBM</t>
  </si>
  <si>
    <t>Main activity level:</t>
  </si>
  <si>
    <t>Sum of production levels</t>
  </si>
  <si>
    <t>Special reporting requirements:</t>
  </si>
  <si>
    <t>Some product benchmarks require special information to be reported (e.g. CWT values). If relevant, an automatically generated message will appear here.</t>
  </si>
  <si>
    <t>Message regarding special reporting</t>
  </si>
  <si>
    <t>EUconst_RelevantAmountPulp</t>
  </si>
  <si>
    <t>Relevant amount of pulp produced</t>
  </si>
  <si>
    <t>Consistency check with point (j):</t>
  </si>
  <si>
    <t>Relevant amount of pulp placed on the market</t>
  </si>
  <si>
    <t>Ratio (i / ii.)</t>
  </si>
  <si>
    <t>Consistency check with point (b) (b.i / ii.):</t>
  </si>
  <si>
    <t>Emissions &amp; Energy Flows</t>
  </si>
  <si>
    <t>Sub-installation data relevant for allocation purposes</t>
  </si>
  <si>
    <t>Sub-installation Data</t>
  </si>
  <si>
    <t>Preliminary allocation</t>
  </si>
  <si>
    <t>Production data of Ethylene oxide and glycols:</t>
  </si>
  <si>
    <t>Attribution to relevant sub-installations:</t>
  </si>
  <si>
    <t>Attribution to sub-installations</t>
  </si>
  <si>
    <t>The table below is intended to provide an attribution of emissions into the different types of sub-installations.</t>
  </si>
  <si>
    <t>For waste gases outside the boundaries of product benchmarks, the "waste gases" tool below has to be used for calculating process emissions.</t>
  </si>
  <si>
    <t>End of sheet</t>
  </si>
  <si>
    <t>Previous sheet</t>
  </si>
  <si>
    <t>D.
Emissions</t>
  </si>
  <si>
    <t>A.
Installation Data</t>
  </si>
  <si>
    <t>b</t>
  </si>
  <si>
    <t>E.
Energy flows</t>
  </si>
  <si>
    <t>F. 
Product BM</t>
  </si>
  <si>
    <t>G. 
Fall-back</t>
  </si>
  <si>
    <t>H. 
Special BM</t>
  </si>
  <si>
    <t>I. 
MS specific</t>
  </si>
  <si>
    <t>J. 
Comments</t>
  </si>
  <si>
    <t>K. 
Summary</t>
  </si>
  <si>
    <t>Installation ID</t>
  </si>
  <si>
    <t>Contact persons</t>
  </si>
  <si>
    <t>Verifier</t>
  </si>
  <si>
    <t>Eligibility</t>
  </si>
  <si>
    <t>Further information</t>
  </si>
  <si>
    <t>Technical connections</t>
  </si>
  <si>
    <t>Light grey areas are dedicated for navigation and hyperlinks.</t>
  </si>
  <si>
    <t>Emissions and Energy Input</t>
  </si>
  <si>
    <t>Emissions Attribution</t>
  </si>
  <si>
    <t>Waste gases (1)</t>
  </si>
  <si>
    <t>Waste gases (2)</t>
  </si>
  <si>
    <t>Attribution of Fuels</t>
  </si>
  <si>
    <t>Heat (final result)</t>
  </si>
  <si>
    <t>Process emissions, CL</t>
  </si>
  <si>
    <t>Process emissions, non-CL</t>
  </si>
  <si>
    <t>Heat benchmark, CL</t>
  </si>
  <si>
    <t>Heat benchmark, non-CL</t>
  </si>
  <si>
    <t>Fuel benchmark, CL</t>
  </si>
  <si>
    <t>Fuel benchmark, non-CL</t>
  </si>
  <si>
    <t>Net amount of measurable heat imported by this sub-installation from other ETS installations;</t>
  </si>
  <si>
    <t>Please enter here the annual production data expressed as tonnes of dolime, without correction for the composition data:</t>
  </si>
  <si>
    <t>uncorrected dolime production</t>
  </si>
  <si>
    <t>Pursuant to Annex III point 3 of the CIMs, the following data is required:</t>
  </si>
  <si>
    <t>Sheet "Summary" - OVERVIEW OF MOST IMPORTANT DATA</t>
  </si>
  <si>
    <t>Fuel input as part of product benchmarks</t>
  </si>
  <si>
    <t>Initial date must be after 30 June 2011!</t>
  </si>
  <si>
    <t>latest change</t>
  </si>
  <si>
    <t>EUconst_LatestChange</t>
  </si>
  <si>
    <t>before start</t>
  </si>
  <si>
    <t>Emissions related to electricity production</t>
  </si>
  <si>
    <t>Average activity level</t>
  </si>
  <si>
    <t>used</t>
  </si>
  <si>
    <t>StartDate_</t>
  </si>
  <si>
    <t>EUconst_StartDate</t>
  </si>
  <si>
    <t>EUconst_CNTR_CAPDelta</t>
  </si>
  <si>
    <t>EUconst_CNTR_HALAdded</t>
  </si>
  <si>
    <t>CAPDelta_</t>
  </si>
  <si>
    <t>HALAddded_</t>
  </si>
  <si>
    <t>CAP_</t>
  </si>
  <si>
    <t>EUconst_CNTR_CAP</t>
  </si>
  <si>
    <t>EUconst_ERR_40pct</t>
  </si>
  <si>
    <t>At least 40% not reached</t>
  </si>
  <si>
    <t>EUconst_182CUF</t>
  </si>
  <si>
    <t>CUF_</t>
  </si>
  <si>
    <t>First sub-installation</t>
  </si>
  <si>
    <t>Activity levels</t>
  </si>
  <si>
    <t>18(2) RCUF</t>
  </si>
  <si>
    <t>Description of the physical change(s)</t>
  </si>
  <si>
    <t>NEW</t>
  </si>
  <si>
    <t>Operated for continuous 90 day period?</t>
  </si>
  <si>
    <t>EUconst_ERR_Capacity1.1</t>
  </si>
  <si>
    <t>This sheet is used for entering data related to sub-installations which have partially ceased operations, or which have recovered after partial cessations.</t>
  </si>
  <si>
    <t>If these situations are not relevant for this application, please proceed to the next sheet immediately.</t>
  </si>
  <si>
    <t>Sub-installation:</t>
  </si>
  <si>
    <t>Pursuant to Article 23(1) of the CIMs an installation is deemed to have partially ceased operations, provided that one sub-installation, which contributes to at least 30 % of the installation's final annual amount of emission allowances allocated free of charge or to the allocation of more than 50 000 allowances, reduces its activity level in a given calendar year by at least 50% compared to the activity level used for calculating the sub-installation's allocation in accordance with Article 9 or, where applicable, with Article 18 (hereinafter "initial activity level").</t>
  </si>
  <si>
    <t>Here the calendar year is to be entered, during which the relevant thresholds have been exceeded / not any more exceeded, i.e. the year before the adjustment of the free allocation of allowances has to take place.</t>
  </si>
  <si>
    <t>Test if the sub-installation satisfies the criteria for being relevant:</t>
  </si>
  <si>
    <t>Partial cessations can only occur if the sub-installation concerned contributes to at least to 30% of the installation’s final annual amount of emission allowances allocated free of charge OR more than 50 000 allowances in the year chosen under point (a) above.</t>
  </si>
  <si>
    <t>This section is mandatory for</t>
  </si>
  <si>
    <t>EUconst_ChangeType0</t>
  </si>
  <si>
    <t>Start of normal operation (Article 3(n) of the CIMs)</t>
  </si>
  <si>
    <t>Start of changed operation (Article 3(o) of the CIMs)</t>
  </si>
  <si>
    <t>Are new sub-installations relevant?</t>
  </si>
  <si>
    <t>Activity level of the new, added or reduced capacity pursuant to CIMs Article 18(1)</t>
  </si>
  <si>
    <t>Basis (kt)</t>
  </si>
  <si>
    <t>Day</t>
  </si>
  <si>
    <t>Determination of the start of normal or changed operation</t>
  </si>
  <si>
    <t>the 2 highest monthly activity levels in the months April and May.</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</si>
  <si>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</si>
  <si>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Sheet "MSspecific" -  ADDITIONAL DATA REQUIREMENTS BY THE MEMBER STATE</t>
  </si>
  <si>
    <t>To be defined by the Member State</t>
  </si>
  <si>
    <t>Consent to use the data contained in this file:</t>
  </si>
  <si>
    <t>EUconst_ConfirmAllowUseOfData</t>
  </si>
  <si>
    <t xml:space="preserve">Competent authorities must ensure to have a unique ID available before notifying any data to the European Commission. </t>
  </si>
  <si>
    <t>min</t>
  </si>
  <si>
    <t>min / cell day</t>
  </si>
  <si>
    <t>-</t>
  </si>
  <si>
    <t>(kgCF4/tAl) / (min/cell-day)</t>
  </si>
  <si>
    <t>mV</t>
  </si>
  <si>
    <t>kg CF4 / (t Al mV)</t>
  </si>
  <si>
    <t>C5/C6 Isomerisation</t>
  </si>
  <si>
    <t>Asphalt Manufacture</t>
  </si>
  <si>
    <t>Polymer-Modified Asphalt Blending</t>
  </si>
  <si>
    <t>Sulphur Recovery</t>
  </si>
  <si>
    <t>Aromatic Solvent Extraction</t>
  </si>
  <si>
    <t>Hydrodealkylation</t>
  </si>
  <si>
    <t>TDP/ TDA</t>
  </si>
  <si>
    <t>tonnes</t>
  </si>
  <si>
    <t>This section is needed for determining historic activity levels for the process emissions sub-installations.</t>
  </si>
  <si>
    <t>Relevance of this tool in your installation:</t>
  </si>
  <si>
    <t>Uncorrected Lime production:</t>
  </si>
  <si>
    <t>uncorrected lime production</t>
  </si>
  <si>
    <t>Composition data:</t>
  </si>
  <si>
    <t>Pursuant to Annex III point 2 of the CIMs, the following data is required:</t>
  </si>
  <si>
    <t>In case no data on the content of free CaO is available, a conservative estimate not lower than 85% shall be applied.</t>
  </si>
  <si>
    <t>content of free CaO in the produced lime in each year of the baseline period expressed as mass-%</t>
  </si>
  <si>
    <t>Relevant capacity utilisation factor:</t>
  </si>
  <si>
    <t>SE</t>
  </si>
  <si>
    <t>UK</t>
  </si>
  <si>
    <t>Language version:</t>
  </si>
  <si>
    <t>Here the corrected lime activity level is calculated using the formula given in the CIMs, Annex III point 2 (before determining the median value).</t>
  </si>
  <si>
    <t>production of standard pure lime</t>
  </si>
  <si>
    <t>Thermal Cracking</t>
  </si>
  <si>
    <t>Fluid Catalytic Cracking</t>
  </si>
  <si>
    <t>Naphtha/Gasoline Hydrotreating</t>
  </si>
  <si>
    <t>VGO Hydrotreating</t>
  </si>
  <si>
    <t>Catalytic Reforming</t>
  </si>
  <si>
    <t>C4 Isomerisation</t>
  </si>
  <si>
    <t>The amounts displayed here reflect the calculation of the final total amount of allowances allocated free of charge in accordance with Articles 19(5) and 21(2) of the CIMs, and after the application of adjustment factors in accordance to Article 23 of the CIMs.</t>
  </si>
  <si>
    <t>EUconst_CNTR_Check10Pct</t>
  </si>
  <si>
    <t>In case of the first sub-installation of a greenfield plant or for new sub-installations, the added final allocation equals the total allocation for that sub-installation.</t>
  </si>
  <si>
    <t>Values have to be entered for all years. The required values are given in sheet K_Summary section K.V.2.a of previous applications (subject to approval by the competent authority).</t>
  </si>
  <si>
    <t>Please enter in the table below the allocation changes which have been approved by the competent authority for the capacity changes listed in section A.III.2 above. Data is to be entered only for the following cases:</t>
  </si>
  <si>
    <t>The required values are given in sheet K_Summary section K.V.2.b of previous applications (subject to approval by the competent authority).</t>
  </si>
  <si>
    <t>Note that in case of several changes of the same sub-installation, all values have to be entered in the same row of the table.</t>
  </si>
  <si>
    <t>Description of the current application</t>
  </si>
  <si>
    <t>List of sub-installations affected by this application</t>
  </si>
  <si>
    <t xml:space="preserve">Disclaimer: The status regarding carbon leakage ("CL") is based on Commission Decision 2010/2/EU as amended by Commission Decision 2011/745/EU. Further revisions of this Decision in the future are possible. </t>
  </si>
  <si>
    <t>Only one 1st sub-installation!</t>
  </si>
  <si>
    <t xml:space="preserve">Manufacture of ceramic products by firing, in particular roofing tiles, bricks, refractory bricks, tiles, stoneware or porcelain, with a production capacity exceeding 75 tonnes per day </t>
  </si>
  <si>
    <t>Facing bricks</t>
  </si>
  <si>
    <t>Pavers</t>
  </si>
  <si>
    <t>Roof tiles</t>
  </si>
  <si>
    <t>Spray dried powder</t>
  </si>
  <si>
    <t xml:space="preserve">Manufacture of mineral wool insulation material using glass, rock or slag with a melting capacity exceeding 20 tonnes per day </t>
  </si>
  <si>
    <t>Mineral wool</t>
  </si>
  <si>
    <t>To the extent feasible, please sort the list with regard to the direct emissions, starting with the activity causing the highest direct emissions.</t>
  </si>
  <si>
    <t>Name of activity (Annex I of the ETS Directive)</t>
  </si>
  <si>
    <t>Activity list</t>
  </si>
  <si>
    <t>Combustion of fuels in installations with a total rated thermal input exceeding 20 MW (except in installations for the incineration of hazardous or municipal waste)</t>
  </si>
  <si>
    <t>Production of glyoxal and glyoxylic acid</t>
  </si>
  <si>
    <t>Production of secondary aluminium where combustion units with a total rated thermal input exceeding 20 MW are operated</t>
  </si>
  <si>
    <t>Make grey?</t>
  </si>
  <si>
    <t>EUconst_OK</t>
  </si>
  <si>
    <t>O.K.</t>
  </si>
  <si>
    <t>Check10Pct_</t>
  </si>
  <si>
    <t>EUconst_ERR_NoSignificantChange</t>
  </si>
  <si>
    <t>No significant capacity change in accordance to Articles 3 (i) and (j) of the CIMs!</t>
  </si>
  <si>
    <t>Further it is checked in section K.IV of the sheet "K_Summary" if the changed preliminary allocation to that sub-installation exceeds 50 000 allowances which represents at least 5% of the amount of allowances calculated irrespective of the physical change.</t>
  </si>
  <si>
    <t>For this sub-installation the relevant date is the:</t>
  </si>
  <si>
    <t>No error messages are displayed in any of the relevant sections.</t>
  </si>
  <si>
    <t>Please provide a short description how the "relevant" data for the calculation of the correction factor has been determined.</t>
  </si>
  <si>
    <t>Please note that this "relevant" heat might be a negative value in some cases.</t>
  </si>
  <si>
    <t>Please note that this "relevant" feed might be a negative value in some cases.</t>
  </si>
  <si>
    <t>Please confirm here if your installation complies with these criteria:</t>
  </si>
  <si>
    <t>http://ec.europa.eu/eurostat/ramon/nomenclatures/index.cfm?TargetUrl=LST_CLS_DLD&amp;StrNom=NACE_1_1&amp;StrLanguageCode=EN&amp;StrLayoutCode=HIERARCHIC</t>
  </si>
  <si>
    <t xml:space="preserve">NACE rev 2.0 can be found here: </t>
  </si>
  <si>
    <t>Light yellow fields indicate that an input is optional.</t>
  </si>
  <si>
    <t>Umweltbundesamt</t>
  </si>
  <si>
    <t>NIMs baseline data</t>
  </si>
  <si>
    <t>Spain</t>
  </si>
  <si>
    <t>Sweden</t>
  </si>
  <si>
    <t>United Kingdom</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</si>
  <si>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</si>
  <si>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EUconst_MsgSeeFirst</t>
  </si>
  <si>
    <t>Please proceed to sheet 'F_ProductBM'!</t>
  </si>
  <si>
    <t>EUconst_MsgProceedF</t>
  </si>
  <si>
    <t>Please proceed to section E.II.2</t>
  </si>
  <si>
    <t>EUconst_MsgProceedEII2</t>
  </si>
  <si>
    <t>EUconst_MsgGoOn</t>
  </si>
  <si>
    <t>Please continue with the next points below</t>
  </si>
  <si>
    <t xml:space="preserve">Production of pulp from timber or other fibrous materials </t>
  </si>
  <si>
    <t>Short fibre kraft pulp</t>
  </si>
  <si>
    <t>Adt</t>
  </si>
  <si>
    <t>Long fibre kraft pulp</t>
  </si>
  <si>
    <t>Sulphite pulp, thermo-mechanical and mechanical pulp</t>
  </si>
  <si>
    <t xml:space="preserve">Production of paper or cardboard with a production capacity exceeding 20 tonnes per day </t>
  </si>
  <si>
    <t>Newsprint</t>
  </si>
  <si>
    <t>Uncoated fine paper</t>
  </si>
  <si>
    <t>EUconst_Inconsistent</t>
  </si>
  <si>
    <t>inconsistent!</t>
  </si>
  <si>
    <t>EUconst_tCO2pkNm3</t>
  </si>
  <si>
    <t>content of free MgO in the produced lime in each year of the baseline period expressed as mass-%</t>
  </si>
  <si>
    <t>Information on the installation’s intended normal operation, maintenance, common production cycle</t>
  </si>
  <si>
    <t>If the heat is exported, the connected installation or entity as input in sheet A_InstallationData section VI can be selected.</t>
  </si>
  <si>
    <t>The data for the initial capacity, in case of greenfields, or for the new capacity in case of significant changes shall be determined also taking into account the non-operating days for consistency reasons.</t>
  </si>
  <si>
    <t>It is mandatory that under A.II.2 question (e) is answered!</t>
  </si>
  <si>
    <t>Activity missing (A.I.3.a)!</t>
  </si>
  <si>
    <t>A.II.2.a-f !</t>
  </si>
  <si>
    <t>EUconst_PFCSource</t>
  </si>
  <si>
    <t>EUconst_TransfSource</t>
  </si>
  <si>
    <t>EUconst_GJpa</t>
  </si>
  <si>
    <t>In case no data on the content of free MgO is available, a conservative estimate not lower than 0.5% shall be applied.</t>
  </si>
  <si>
    <t>Content of CaO</t>
  </si>
  <si>
    <t>Content of MgO</t>
  </si>
  <si>
    <t>Result: Activity levels for lime expressed as standard pure lime</t>
  </si>
  <si>
    <t>This means that 100% = the installation's total direct emissions.</t>
  </si>
  <si>
    <t>The table does not take into account the differentiation regarding exposure to the risk of carbon leakage, and regarding different product benchmarks.</t>
  </si>
  <si>
    <t>This section relates to the process emissions sub-installation of this type:</t>
  </si>
  <si>
    <t>Please confirm if waste gases are relevant for this sub-installation:</t>
  </si>
  <si>
    <t>chemical synthesis</t>
  </si>
  <si>
    <t>carbon containing materials</t>
  </si>
  <si>
    <t>Historic Activity levels and disaggregated production details</t>
  </si>
  <si>
    <t>Portugal</t>
  </si>
  <si>
    <t>Romania</t>
  </si>
  <si>
    <t>Slovakia</t>
  </si>
  <si>
    <t>Slovenia</t>
  </si>
  <si>
    <t>Unique Installation Identifier:</t>
  </si>
  <si>
    <t>Identification of the Installation</t>
  </si>
  <si>
    <t>Heat benchmark sub-installation "CL" (exposed to a significant risk of Carbon Leakage) and "non-CL" (not exposed to carbon leakage risk).</t>
  </si>
  <si>
    <t>Control: Other emissions (non-eligible)</t>
  </si>
  <si>
    <t>Only for process emissions sub-installations "CL" (exposed to a significant risk of Carbon Leakage) and "non-CL" (not exposed to carbon leakage risk) are distinguished.</t>
  </si>
  <si>
    <t>Note that in case of exported heat only those types of heat use which are not carried out within an ETS installations are to be reported here.</t>
  </si>
  <si>
    <t>Use type</t>
  </si>
  <si>
    <t>EUconst_WithinInst</t>
  </si>
  <si>
    <t>Within installation</t>
  </si>
  <si>
    <t>Within installation or export?</t>
  </si>
  <si>
    <t>EUconst_HeatUseTypes</t>
  </si>
  <si>
    <t>Production of goods</t>
  </si>
  <si>
    <t>heating</t>
  </si>
  <si>
    <t>cooling</t>
  </si>
  <si>
    <t>unknown</t>
  </si>
  <si>
    <t>Lube solvent extraction</t>
  </si>
  <si>
    <t>Lube solvent dewaxing</t>
  </si>
  <si>
    <t>Catalytic Wax Isomerisation</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</si>
  <si>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</si>
  <si>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</si>
  <si>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</si>
  <si>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</si>
  <si>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</si>
  <si>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</si>
  <si>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</si>
  <si>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</si>
  <si>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</si>
  <si>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</si>
  <si>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You are only required to enter the 2 highest monthly total activity levels.</t>
  </si>
  <si>
    <t>EUconst_30DayOrCalendarMonth</t>
  </si>
  <si>
    <t xml:space="preserve">The 2 highest calendar month activity levels </t>
  </si>
  <si>
    <t>The 2 highest 30-day activity levels</t>
  </si>
  <si>
    <t>the 2 highest 30-day activity levels in the 90 days starting and including 15 March. In this case the activity levels for the three 30 day periods during the 90 days should be entered for month 1,2 and 3 below.</t>
  </si>
  <si>
    <t>If this is the first sub-installation of a greenfield, the initial capacity is based on:</t>
  </si>
  <si>
    <t>Permit which has expired or been withdrawn:</t>
  </si>
  <si>
    <t>For greenfield plants please select the "first sub-installation" that started normal operation. In case more than one sub-installation started on the same date, please only choose one and treat the others as significant capacity extension.</t>
  </si>
  <si>
    <t>Please enter here the required information or enter here the reference to the file that contains the required information.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</si>
  <si>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</si>
  <si>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Pursuant to Article 17(4) of the CIMs the initial installed capacity has to be determined "...in accordance with the methodology set out in Article 7(3) ...". The reference here is made to the methodology for determining capacity, not to the entire paragraph (including 2005-2008). Therefore, the capacity is determined by the two highest monthly production volumes in the relevant period and not on the basis of experimental verification except for cases of force majeure (when all data have been lost).</t>
  </si>
  <si>
    <t>EUconst_NotEligible</t>
  </si>
  <si>
    <t>Please select this option for identifying that your installation uses heat from nitric acid production.</t>
  </si>
  <si>
    <t>This information is relevant for the heat balance (sheet "E_EnergyFlows", section II)</t>
  </si>
  <si>
    <t>Please describe the waste gas and the process from which it is produced. Above enter a name for the gas stream, below give a short process description.</t>
  </si>
  <si>
    <t>Crude Oil</t>
  </si>
  <si>
    <t>Orimulsion</t>
  </si>
  <si>
    <t>Natural Gas Liquids</t>
  </si>
  <si>
    <t>Motor Gasoline</t>
  </si>
  <si>
    <t>Kerosene</t>
  </si>
  <si>
    <t>Shale Oil</t>
  </si>
  <si>
    <t>Gas/Diesel Oil</t>
  </si>
  <si>
    <t>Residual Fuel Oil</t>
  </si>
  <si>
    <t>Liquefied Petroleum Gases</t>
  </si>
  <si>
    <t>Ethane</t>
  </si>
  <si>
    <t>Naphtha</t>
  </si>
  <si>
    <t>Bitumen</t>
  </si>
  <si>
    <t>Lubricants</t>
  </si>
  <si>
    <t>Petroleum Coke</t>
  </si>
  <si>
    <t>Refinery Feedstocks</t>
  </si>
  <si>
    <t>Refinery Gas</t>
  </si>
  <si>
    <t>Paraffin Waxes</t>
  </si>
  <si>
    <t>White Spirit &amp; SBP</t>
  </si>
  <si>
    <t>Other Petroleum Products</t>
  </si>
  <si>
    <t>Anthracite</t>
  </si>
  <si>
    <t>Coking Coal</t>
  </si>
  <si>
    <t>Other Bituminous Coal</t>
  </si>
  <si>
    <t>Sub-Bituminous Coal</t>
  </si>
  <si>
    <t>Lignite</t>
  </si>
  <si>
    <t>Oil Shale and Tar Sands</t>
  </si>
  <si>
    <t>Patent Fuel</t>
  </si>
  <si>
    <t>Coke Oven Coke &amp; Lignite Coke</t>
  </si>
  <si>
    <t>Gas Coke</t>
  </si>
  <si>
    <t>Coal Tar</t>
  </si>
  <si>
    <t>Gas Works Gas</t>
  </si>
  <si>
    <t>Coke Oven Gas</t>
  </si>
  <si>
    <t>Blast Furnace Gas</t>
  </si>
  <si>
    <t>Oxygen Steel Furnace Gas</t>
  </si>
  <si>
    <t>Natural Gas</t>
  </si>
  <si>
    <t>Industrial Wastes</t>
  </si>
  <si>
    <t>Waste Oils</t>
  </si>
  <si>
    <t>Peat</t>
  </si>
  <si>
    <t>Wood/Wood Waste</t>
  </si>
  <si>
    <t>Other Primary Solid Biomass</t>
  </si>
  <si>
    <t>Navigation area:</t>
  </si>
  <si>
    <t>Table of contents</t>
  </si>
  <si>
    <t>Next sheet</t>
  </si>
  <si>
    <t>Summary</t>
  </si>
  <si>
    <t>Top of sheet</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</si>
  <si>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</si>
  <si>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Colour codes and fonts:</t>
  </si>
  <si>
    <t>This is text describing the input required.</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</si>
  <si>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</si>
  <si>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This amount of heat is allocated to the consumer of the heat.</t>
  </si>
  <si>
    <t>The sub-installation is new. For correct calculation the initial installed capacity is always to be set to zero. Please select the following option:</t>
  </si>
  <si>
    <t>Capacity has been approved by the competent authority as consequence of an earlier application, but later than in the NIMs. The following option can be selected:</t>
  </si>
  <si>
    <t>NIMs 2005-2008: Installed capacity has been reported by the standard method, i.e. as the average of the two highest monthly activity levels in the years 2005 to 2008.</t>
  </si>
  <si>
    <t>NIMs Experimental Verification: Installed capacity has been determined by "experimental verification".</t>
  </si>
  <si>
    <t>NIMs Article 9(6): The installation has been operating less than 2 years in the baseline period. Installed capacity has been determined pursuant to Article 9(6) of the CIMs.</t>
  </si>
  <si>
    <t>Total amount of process emissions before subtracting an equivalent for the technically usable energy content:</t>
  </si>
  <si>
    <t>Amount of waste gas produced outside product benchmark sub-installations, including for exports:</t>
  </si>
  <si>
    <t>Calculation results can only be considered correct if complete and consistent data is reported in sections above.</t>
  </si>
  <si>
    <t>This Report must be submitted to your Competent Authority to the following address:</t>
  </si>
  <si>
    <t>Column for</t>
  </si>
  <si>
    <t>Steam cracking tool part 2: Preliminary allocation (Article 11 of the CIMs)</t>
  </si>
  <si>
    <t>This tool helps you determine the preliminary allocation for the steam cracking sub-installation (Article 11 of the CIMs).</t>
  </si>
  <si>
    <t>The following data is required:</t>
  </si>
  <si>
    <t>Production from supplemental feed:</t>
  </si>
  <si>
    <t>Production from supplemental feed</t>
  </si>
  <si>
    <t>Multiplier 
(t CO2 / t)</t>
  </si>
  <si>
    <t>Because both possible sub-installations can be concerned in one installation, or because different waste gases can occur, this "waste gas tool" exists twofold in this template.</t>
  </si>
  <si>
    <t>The initial activity level should be understood as the activity level used for calculating the sub-installation’s allocation in accordance with Art. 9 of the CIMs, or, where applicable, Art. 18 of the CIMs. This is the historical activity level used to determine the allocation in the NIMs, or where applicable, the activity level used to calculate the allocation for new installations (new entrants). If applicable and if not done so already, to determine the initial activity level, these activity levels should be corrected for any significant changes in capacity prior to the partial cessation of operation.</t>
  </si>
  <si>
    <t>Please use VCM tool in sheet "SpecialBM" for calculating preliminary allocation.</t>
  </si>
  <si>
    <t>Please use steam cracking tool in sheet "SpecialBM" for calculating historical activity levels and preliminary allocation.</t>
  </si>
  <si>
    <t>allowances</t>
  </si>
  <si>
    <t>EUconst_Allowances</t>
  </si>
  <si>
    <t>Vinyl chloride monomer tool: Preliminary allocation (Article 12 of the CIMs)</t>
  </si>
  <si>
    <t>Please continue with point (d) below.</t>
  </si>
  <si>
    <t>EUconst_MsgGoOn_d</t>
  </si>
  <si>
    <t>EUconst_MsgGoOnIfNotRelevant</t>
  </si>
  <si>
    <t>If not relevant at your installation, continue with the next points.</t>
  </si>
  <si>
    <t>EUconst_Month</t>
  </si>
  <si>
    <t>Month</t>
  </si>
  <si>
    <t>Sub-installation with product benchmark</t>
  </si>
  <si>
    <t>EUconst_BMSubinst</t>
  </si>
  <si>
    <t>Dates must be sorted ascending!</t>
  </si>
  <si>
    <t>EUconst_ERR_DatesSorting</t>
  </si>
  <si>
    <t>EUconst_ERR_RangeOfStartingDate</t>
  </si>
  <si>
    <t>Initial date missing!</t>
  </si>
  <si>
    <t>EUconst_ERR_InitialDateMissing</t>
  </si>
  <si>
    <t>Therefore the results below are multiplied with a factor of 1000, which is not explicitely mentioned in Annex III point 1 of the CIMs.</t>
  </si>
  <si>
    <t>Refinery activity level</t>
  </si>
  <si>
    <t>CWT (Aromatics)</t>
  </si>
  <si>
    <t>This tool helps you determine the HAL (historical activity levels) for the aromatics benchmark (Annex III point 5 of the CIMs)</t>
  </si>
  <si>
    <t>Determination of initial installed capacity:</t>
  </si>
  <si>
    <t>Only those cases are relevant, where either measurable heat, waste gases or CO2 for the purpose of CCS activities cross the boundaries of the installation.</t>
  </si>
  <si>
    <t>Heat exports to installations covered by the ETS (section (h) below) must always be considered as heat from eligible sources, because the consumer of the heat will not have the information about eligibility of the upstream produced heat. Thus, for avoiding double counting, the heat must be deducted from the eligible amount in this installation. The amount is to be capped by the total available "eligible" heat of the installation.</t>
  </si>
  <si>
    <t>After these deductions of heat from the available amount, a new "eligibility ratio" is calculated (point (j)).</t>
  </si>
  <si>
    <t>Installation names in the drop down list are taken from Section A.IV. Therefore you must ensure that you have entered complete data there.</t>
  </si>
  <si>
    <t xml:space="preserve">This includes the nitric acid producing sub-installations (select "Within installation" as name of installation, if the nitric acid production is part of this installation). </t>
  </si>
  <si>
    <t>Before the amount of heat falling under the heat benchmark sub-installations can be quantified, the amount not eligible for this purpose has to be identified.</t>
  </si>
  <si>
    <t>Amount of heat from non-ETS sources</t>
  </si>
  <si>
    <t>Manual override of (ii)</t>
  </si>
  <si>
    <t>The best suggested approach for filling this section is to first make the relevant entries under "F_ProductBM" and only then continue with point (h) below.</t>
  </si>
  <si>
    <t>This amount can be split into "eligible" and "non-eligible" heat (according to their origin, see introduction to section II.2).</t>
  </si>
  <si>
    <t>The data is automatically used again in sheet "G_Fall-back". Therefore data entry is mandatory here, if this tool is used.</t>
  </si>
  <si>
    <t>Production of goods not covered by product benchmarks within the installation (please provide types of product);</t>
  </si>
  <si>
    <t>Islandic</t>
  </si>
  <si>
    <t>is</t>
  </si>
  <si>
    <t>Norwegian</t>
  </si>
  <si>
    <t>no</t>
  </si>
  <si>
    <t>EUconst_relOrMWhpa</t>
  </si>
  <si>
    <t>You can choose the method for entering the values in the table below under point (b). Available options are: "Absolute values" (enter t CO2e/year), or "percentages".</t>
  </si>
  <si>
    <t>EUconst_relOrtCO2pa</t>
  </si>
  <si>
    <t>Emissions related to product benchmarks</t>
  </si>
  <si>
    <t>A.</t>
  </si>
  <si>
    <t>B.</t>
  </si>
  <si>
    <t>C.</t>
  </si>
  <si>
    <t>D.</t>
  </si>
  <si>
    <t>Sheet "Emissions" - ATTRIBUTION OF EMISSIONS</t>
  </si>
  <si>
    <t>Sheet "EnergyFlows" - DATA ON ENERGY INPUT, MEASURABLE HEAT AND ELECTRICITY</t>
  </si>
  <si>
    <t>Sheet "ProductBM" - SUB-INSTALLATION DATA RELATING TO PRODUCT BENCHMARKS</t>
  </si>
  <si>
    <t>Sheet "Fall-back" - SUB-INSTALLATION DATA RELATING TO FALL-BACK SUB-INSTALLATIONS</t>
  </si>
  <si>
    <t>Sheet "SpecialBM" - SPECIAL DATA FOR SOME PRODUCT BENCHMARKS</t>
  </si>
  <si>
    <t>I.</t>
  </si>
  <si>
    <t>Sheet "Comments" -  COMMENTS AND FURTHER INFORMATION</t>
  </si>
  <si>
    <t>J.</t>
  </si>
  <si>
    <t xml:space="preserve">Additional documentation provided should be clearly referenced, and the file name / reference number provided below. </t>
  </si>
  <si>
    <t>If needed, check with your competent authority if other file formats than the ones mentioned above are acceptable.</t>
  </si>
  <si>
    <t>EUconst_Incomplete</t>
  </si>
  <si>
    <t>incomplete!</t>
  </si>
  <si>
    <t>EUconst_CapacityInitial</t>
  </si>
  <si>
    <t>CapacityInitial_</t>
  </si>
  <si>
    <t>Here the corrected dolime activity level is calculated using the formula given in the CIMs, Annex III point 3 (before determining the median value).</t>
  </si>
  <si>
    <t>production of standard pure dolime</t>
  </si>
  <si>
    <t>Total production of high value chemicals (HVC total)</t>
  </si>
  <si>
    <t>Please enter here the annual production data expressed as tonnes HVC (without corrections)</t>
  </si>
  <si>
    <t>HVC total</t>
  </si>
  <si>
    <t>Supplemental feed data:</t>
  </si>
  <si>
    <t>Pursuant to Annex III point 4 of the CIMs, the following data is required:</t>
  </si>
  <si>
    <t>Supplemental feed</t>
  </si>
  <si>
    <t>Ethylene</t>
  </si>
  <si>
    <t>and</t>
  </si>
  <si>
    <t>Please list here - if applicable - in chronological order all sub-installations, to which any of the following events apply, for which applications for allocation changes have been approved by the competent authority before the current application:</t>
  </si>
  <si>
    <t>recovery after partial cessation</t>
  </si>
  <si>
    <t>If the installation is a greenfield plant, please indicate in the last column which sub-installation is the first sub-installation to start normal operation.  If several sub-installation start on the same day, you have to choose one of them.</t>
  </si>
  <si>
    <t>The following rules apply for defining sub-installations:</t>
  </si>
  <si>
    <t>Please note that correct entries in this section are essential for all subsequent inputs dealing with sub-installations.</t>
  </si>
  <si>
    <t>EUconst_Relevant</t>
  </si>
  <si>
    <t>EUconst_NotRelevant</t>
  </si>
  <si>
    <t>relevant</t>
  </si>
  <si>
    <t>not relevant</t>
  </si>
  <si>
    <t>The production, not the use of the waste gas is relevant for determining the correct sub-installation.</t>
  </si>
  <si>
    <t>Estimation of waste gas emissions</t>
  </si>
  <si>
    <t>Emissions from waste gases</t>
  </si>
  <si>
    <t>Optionally, and for the purpose of consistency checks only, please provide an estimation of the quantity of emissions relating to the waste gas used or exported.</t>
  </si>
  <si>
    <t>Cyclohexane production</t>
  </si>
  <si>
    <t>Xylene Isomerisation</t>
  </si>
  <si>
    <t>Paraxylene production</t>
  </si>
  <si>
    <t>Metaxylene production</t>
  </si>
  <si>
    <t>Phtalic anhydride production</t>
  </si>
  <si>
    <t>Maleic anhydride production</t>
  </si>
  <si>
    <t>Ethylbenzene production</t>
  </si>
  <si>
    <t>Cumene production</t>
  </si>
  <si>
    <t>Phenol production</t>
  </si>
  <si>
    <t>Under this point the "main activity levels" should be reported, i.e. the data which is directly applicable for the calculation of the allocation.</t>
  </si>
  <si>
    <t xml:space="preserve"> If relevant, an automatically generated message will appear here demanding the input needed for taking into account the exchangeability of fuels and electricity.</t>
  </si>
  <si>
    <t>The amount of process emissions without this subtraction is referred to as "uncorected process emissions" below.</t>
  </si>
  <si>
    <t>Uncorrected process emissions</t>
  </si>
  <si>
    <t>If you have entered "Total activity" under point (d) above you are required to enter the average daily activity level in calendar years (not earlier than 2005) prior to the physical change and the total activity level of the sub-installation on the relevant date.</t>
  </si>
  <si>
    <t>If you have entered "Related to added capacity" under point (d) above you are only required to enter the relevant daily activity level.</t>
  </si>
  <si>
    <t xml:space="preserve"> The daily activity level does not need to be above the 40% during each day in the 90 day period.</t>
  </si>
  <si>
    <t xml:space="preserve">Production of carbon black involving the carbonisation of organic substances such as oils, tars, cracker and distillation residues, where combustion units with a total rated thermal input exceeding 20 MW are operated </t>
  </si>
  <si>
    <t>Carbon black</t>
  </si>
  <si>
    <t xml:space="preserve">Production of nitric acid </t>
  </si>
  <si>
    <t>Nitric acid</t>
  </si>
  <si>
    <t xml:space="preserve">Production of adipic acid </t>
  </si>
  <si>
    <t>Adipic acid</t>
  </si>
  <si>
    <t xml:space="preserve">Production of ammonia </t>
  </si>
  <si>
    <t>Ammonia</t>
  </si>
  <si>
    <t xml:space="preserve">Production of bulk organic chemicals by cracking, reforming, partial or full oxidation or by similar processes, with a production capacity exceeding 100 tonnes per day </t>
  </si>
  <si>
    <t>Steam cracking</t>
  </si>
  <si>
    <t>Aromatics</t>
  </si>
  <si>
    <t>Styrene</t>
  </si>
  <si>
    <t>Phenol/ acetone</t>
  </si>
  <si>
    <t>it is technically possible to start operation on short notice and maintenance is carried out on a regular basis.</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</si>
  <si>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</si>
  <si>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</si>
  <si>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</si>
  <si>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</si>
  <si>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</si>
  <si>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</si>
  <si>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</si>
  <si>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</si>
  <si>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</si>
  <si>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</si>
  <si>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</si>
  <si>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</si>
  <si>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</si>
  <si>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</si>
  <si>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</si>
  <si>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</si>
  <si>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</si>
  <si>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</si>
  <si>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</si>
  <si>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</si>
  <si>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</si>
  <si>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</si>
  <si>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</si>
  <si>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</si>
  <si>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</si>
  <si>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</si>
  <si>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</si>
  <si>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</si>
  <si>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</si>
  <si>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</si>
  <si>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</si>
  <si>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</si>
  <si>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</si>
  <si>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</si>
  <si>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</si>
  <si>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</si>
  <si>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</si>
  <si>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</si>
  <si>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</si>
  <si>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</si>
  <si>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</si>
  <si>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</si>
  <si>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</si>
  <si>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</si>
  <si>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</si>
  <si>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</si>
  <si>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</si>
  <si>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</si>
  <si>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</si>
  <si>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</si>
  <si>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d) The installation is not operating, but has been operating before and it is technically impossible to resume operation</t>
  </si>
  <si>
    <t>e) The installation is not operating, but has been operating before and the operator cannot prove that operation can resume within 6 months after having ceased operations.</t>
  </si>
  <si>
    <t>This is only relevant if you have chosen reasons a) or b) above.</t>
  </si>
  <si>
    <t>In accordance with Article 23(2) the initial amount of allowances for that sub-installation will be multiplied by that factor as of the year following the one chosen under point (a).</t>
  </si>
  <si>
    <t>B. Partial Cessation</t>
  </si>
  <si>
    <t>C. Starting Date</t>
  </si>
  <si>
    <t>Design capacity</t>
  </si>
  <si>
    <t>Determination of Adjustment Factors</t>
  </si>
  <si>
    <t>New, added or reduced capacity</t>
  </si>
  <si>
    <t>New/added/reduced allocation</t>
  </si>
  <si>
    <t>If the activity level is reduced by 75% to 90% compared to the initial activity level, the adjustment factor is 0.25.</t>
  </si>
  <si>
    <t>If the activity level is reduced by 90% or more compared to the initial activity level, the adjustment factor is 0.00.</t>
  </si>
  <si>
    <t>If the activity level is reduced by 50% to 75% compared to the initial activity level, the adjustment factor is 0.50.</t>
  </si>
  <si>
    <t>In accordance with Article 3(n) of the CIMs the 'start of normal operation' means the verified and approved first day of a continuous 90-day period, or, where the usual production cycle in the sector concerned does not foresee continuous production, the first day of a 90-day period split in sector-specific production cycles, during which the installation operates at least at 40% of the capacity that the equipment is designed to accommodate taking into account, where appropriate, the installation-specific operating conditions;</t>
  </si>
  <si>
    <t xml:space="preserve">In both cases this date is of crucial interest for allocation as </t>
  </si>
  <si>
    <t>Sheet "PartialCessation" - Adjustment Factors for Partial Cessation</t>
  </si>
  <si>
    <t>Postcode/ZIP:</t>
  </si>
  <si>
    <t>Contact person for the verifier:</t>
  </si>
  <si>
    <t>Email address:</t>
  </si>
  <si>
    <t>Telephone number:</t>
  </si>
  <si>
    <t>Accreditation Member State:</t>
  </si>
  <si>
    <t>Registration number issued by the Accreditation body:</t>
  </si>
  <si>
    <t>The availability of such registration information may depend on the administering Member State's practice of accreditation / permitting of verifiers.</t>
  </si>
  <si>
    <t>Eligibility for free allocation:</t>
  </si>
  <si>
    <t>Is the installation an installation for the capture of CO2, for transport of CO2 or a CO2 storage site?</t>
  </si>
  <si>
    <t>In space below you can enter all information which was not suitable for input in other sheets and which you consider important for the competent authority</t>
  </si>
  <si>
    <t>Contact persons:</t>
  </si>
  <si>
    <t>General information:</t>
  </si>
  <si>
    <t>Activities according to Annex I of the EU ETS Directive:</t>
  </si>
  <si>
    <t>Heat exported to ETS installations (not eligible for heat benchmark):</t>
  </si>
  <si>
    <t>Measurable heat imported from installations and entities not covered by the EU ETS (not eligible for heat benchmark):</t>
  </si>
  <si>
    <t>Sub-total:</t>
  </si>
  <si>
    <t>(g)</t>
  </si>
  <si>
    <t>Heat exported to installations or entities not covered by the EU ETS (e.g. district heating networks):</t>
  </si>
  <si>
    <t>This tool helps you determine the HAL (historical activity levels) for the synthesis gas benchmark (Annex III point 7 of the CIMs).</t>
  </si>
  <si>
    <t>Sum of products</t>
  </si>
  <si>
    <t>Ethylene oxide</t>
  </si>
  <si>
    <t>Monoethylene glycol</t>
  </si>
  <si>
    <t>Diethylene glycol</t>
  </si>
  <si>
    <t>Triethylene glycol</t>
  </si>
  <si>
    <t>Please enter here the annual production data of the different products covered by this benchmark in each year of the baseline period.</t>
  </si>
  <si>
    <t>Result: Activity levels for the ethylene oxide / ethylene glycols product benchmark sub-installation:</t>
  </si>
  <si>
    <t>Installation name:</t>
  </si>
  <si>
    <t>For the definition and boundaries of each CWT function please see Annex II point 1 of the CIMs.</t>
  </si>
  <si>
    <t>Naphtha/Gasoline Hydrotreater</t>
  </si>
  <si>
    <t>Result: Activity levels for the aromatics benchmark expressed as CWT</t>
  </si>
  <si>
    <t>Here the aromatics activity level is calculated using the formula given in the CIMs, Annex III point 5 (before determining the median value).</t>
  </si>
  <si>
    <t>In case this is the first sub-installation of a greenfield plant that started normal operation the two highest months out of the three months after the start of normal operation are used for further calculations.</t>
  </si>
  <si>
    <t>In case of significant changes the two highest months (ii.) out of the six month after the start of changed operation (i.) are used for further calculations.</t>
  </si>
  <si>
    <t>The relevant capacity utilization factors (RCUF) will be determined by the CA for each sub-installation for which it is relevant. In order for the CA to be able to determine RCUFs, the operator will submit the following information:</t>
  </si>
  <si>
    <t>Typical capacity utilization in the relevant sector concerned.</t>
  </si>
  <si>
    <t>RCUF suggested by the operator as a percentage of the initial capacity</t>
  </si>
  <si>
    <t>If you are not sure about the values to enter here, please contact your relevant national statistics office.</t>
  </si>
  <si>
    <t>NACE codes shall be entered at 4-digit level, in the form "nnnn", i.e. without any dots or other delimiters inbetween.</t>
  </si>
  <si>
    <t>Hot metal</t>
  </si>
  <si>
    <t>Number of activity</t>
  </si>
  <si>
    <t>EUconst_ERR_ActivityMissing</t>
  </si>
  <si>
    <t>Only if this eligibility is displayed as "true", preliminary allocation values are displayed below in section V.</t>
  </si>
  <si>
    <t>Note: The eligibility is automatically set to "true" only if:</t>
  </si>
  <si>
    <t>1.</t>
  </si>
  <si>
    <t>2.</t>
  </si>
  <si>
    <t>3.</t>
  </si>
  <si>
    <t>4.</t>
  </si>
  <si>
    <t>5.</t>
  </si>
  <si>
    <t>Operated occasionally:</t>
  </si>
  <si>
    <t>CITL-List</t>
  </si>
  <si>
    <t>Connection Name</t>
  </si>
  <si>
    <t>Entity Type</t>
  </si>
  <si>
    <t>CITL identifier, if applicable</t>
  </si>
  <si>
    <t>Attribution of emissions to sub-installations (section D.II)</t>
  </si>
  <si>
    <t>Estimated waste gas emissions</t>
  </si>
  <si>
    <t>Assumed efficiency for electricity production:</t>
  </si>
  <si>
    <t>Waste gas calculation (waste gases not covered by product benchmarks) - Section D.III</t>
  </si>
  <si>
    <t>Energy input from fuels - split into use categories (Section E.I)</t>
  </si>
  <si>
    <t>Calculation of measurable heat (Section E.II)</t>
  </si>
  <si>
    <t>Values entered in sheet "F_ProductBM" as from non-ETS sources:</t>
  </si>
  <si>
    <t>Electricity data</t>
  </si>
  <si>
    <t>Relevant measurable heat from non-ETS:</t>
  </si>
  <si>
    <t>Relevant direct emissions</t>
  </si>
  <si>
    <t>Relevant net imported heat</t>
  </si>
  <si>
    <t>in case of a greenfield plant relate to the total initial installed capacity.</t>
  </si>
  <si>
    <t>In case of significant capacity extensions or reductions data should relate, to the added or reduced capacity, whatever applicable. If the data can't be clearly attributed to that added or reduced capacity, e.g. if the physical change is a modification of existing equipment, please enter here data related to the total monthly activity level.</t>
  </si>
  <si>
    <t>In case of significant capacity extensions or reductions data should relate to the added or reduced capacity, whatever applicable.</t>
  </si>
  <si>
    <t>The data must be consistent with the total net measurable heat imported entered under point (j).ii above (electricity exchangeability), if applicable.</t>
  </si>
  <si>
    <t>The result of this tool is automatically copied into sheet "F_ProductBM", input line "(b).ii" of the appropriate sub-installation.</t>
  </si>
  <si>
    <t>Note that in this case the values have to be consistent with the sub-totals under point E.II.c in sheet "E_Energy flows".</t>
  </si>
  <si>
    <t>Amount of pulp placed onto the market:</t>
  </si>
  <si>
    <t>If relevant, an automatically generated message will appear here demanding the input needed for taking into account the amount of pulp placed onto the market.</t>
  </si>
  <si>
    <t>Entries are required for all months that are relevant for capacity determination, i.e. the 90 day period in case this is the first sub-installation of a greenfield plant and six months in case of significant capacity changes.</t>
  </si>
  <si>
    <t>According to the second sentence of Article 10(7) only pulp (short fibre kraft pulp, long fibre kraft pulp, thermo-mechanical pulp and mechanical pulp, sulphite pulp) that is placed on the market and not processed into paper in the same or other technically connected installations is to be taken into account for free allocation.</t>
  </si>
  <si>
    <t>The „relevant“ data entered here should:</t>
  </si>
  <si>
    <t>In any case the „relevant“ data entered here should:</t>
  </si>
  <si>
    <t>In any case the method applied should be consistent for all of the three calculation values (i., ii. and iii.) to which capacity they relate.</t>
  </si>
  <si>
    <t>In any case the method applied should be consistent for both calculation values (i. and ii.) to which capacity they relate.</t>
  </si>
  <si>
    <t>Note that in this case the values have to be consistent with the total production data point (b.i). above.</t>
  </si>
  <si>
    <t>Please enter here the relevant amount of pulp placed on the market and the relevant amount of pulp produced.</t>
  </si>
  <si>
    <t>Note that in this case the values entered here shall be the same as under IV.1.c above.</t>
  </si>
  <si>
    <t>In any case the method applied should be consistent for all of the three calculation values to which capacity they relate.</t>
  </si>
  <si>
    <t>Relevant hydrogen</t>
  </si>
  <si>
    <t>Relevant ethylene</t>
  </si>
  <si>
    <t>Relevant other HVC</t>
  </si>
  <si>
    <t>Relevant net measurable heat imported</t>
  </si>
  <si>
    <t>Relevant heat from H2 combustion</t>
  </si>
  <si>
    <t>Since the following data is calculated from entries above please make sure entries made there are correct . In case this is the first sub-installation of a greenfield, data entered above should be consistent with the period chosen above, i.e. three 30 day periods or 2 calendar months.</t>
  </si>
  <si>
    <t>EUconst_CNTR_PeriodGreenfield</t>
  </si>
  <si>
    <t>PeriodGreenfield_</t>
  </si>
  <si>
    <t>Green fields show automatically calculated results. Red text indicates error messages (missing data etc).</t>
  </si>
  <si>
    <t>Please enter information under points (b) and (c) above!</t>
  </si>
  <si>
    <t>EUconst_ERR_Mandatory_Bbc</t>
  </si>
  <si>
    <t>Please enter detailed source stream data starting with section II below!</t>
  </si>
  <si>
    <t>EUconst_ERR_StartWithFuels</t>
  </si>
  <si>
    <t>Please go on with entering emission totals in section D.I.2 in sheet 'D_Emissions'!</t>
  </si>
  <si>
    <t>EUconst_ERR_Goto_DI2</t>
  </si>
  <si>
    <t>EUconst_Fuel</t>
  </si>
  <si>
    <t>Fuel</t>
  </si>
  <si>
    <t>Process emissions source</t>
  </si>
  <si>
    <t>EUconst_ProcessSource</t>
  </si>
  <si>
    <t>The units selected are inconsistent, and calculations based upon related inputs will give wrong results.</t>
  </si>
  <si>
    <t>Mass balance component</t>
  </si>
  <si>
    <t>CEMS source</t>
  </si>
  <si>
    <t>N2O source</t>
  </si>
  <si>
    <t>PFC source</t>
  </si>
  <si>
    <t>Types of changes:</t>
  </si>
  <si>
    <t>EUconst_ApplicationType</t>
  </si>
  <si>
    <t>Cessation of operations of the installation as a whole (Article 22 of the CIMs)</t>
  </si>
  <si>
    <t>EUconst_ERR_Mandatory_ApplicationType</t>
  </si>
  <si>
    <t>Volume of total production of synthesis gas (uncorrected)</t>
  </si>
  <si>
    <t>Please enter here the annual production data of synthesis gas referred to historical hydrogen content in each year of the baseline period.</t>
  </si>
  <si>
    <t>Please select here to which of the two process emission sub-installations the data in this tool is related.</t>
  </si>
  <si>
    <t>EUconst_RCUFrange</t>
  </si>
  <si>
    <t>Total synthesis gas production</t>
  </si>
  <si>
    <t xml:space="preserve">You can enter the figure of 50% either as "0.50" or as "50%". </t>
  </si>
  <si>
    <t>Result: Activity levels for synthesis gas referred to as tonnes with 47% hydrogen content</t>
  </si>
  <si>
    <t>Here the corrected activity level (referring to 47% H2) is calculated using the formula given in the CIMs, Annex III point 7 (before determining the median value).</t>
  </si>
  <si>
    <t>Synthesis gas (47% H2 content)</t>
  </si>
  <si>
    <t>Ethylene oxide / glycols</t>
  </si>
  <si>
    <t>Tool for calculating the historical activity levels for ethylene oxide / ethylene glycols sub-installations</t>
  </si>
  <si>
    <t>This tool helps you determine the HAL (historical activity levels) for the ethylene oxide / ethylene glycols benchmark (Annex III point 8 of the CIMs).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</si>
  <si>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</si>
  <si>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That amount is the amount of measurable heat imported from non-ETS installations or entities multiplied with the heat benchmark.</t>
  </si>
  <si>
    <t>These amounts are automatically calculated based on the figures input above. The formula is described in the guidance note No. 8.</t>
  </si>
  <si>
    <t>This is the final result of this tool. The values displayed here should be entered above, section D.II.2(b), for the appropriate sub-installation.</t>
  </si>
  <si>
    <t xml:space="preserve">Production of lime or calcination of dolomite or magnesite in rotary kilns or in other furnaces with a production capacity exceeding 50 tonnes per day </t>
  </si>
  <si>
    <t>Lime</t>
  </si>
  <si>
    <t>Dolime</t>
  </si>
  <si>
    <t>Sintered dolime</t>
  </si>
  <si>
    <t>According to Article 13 of the CIMs a CO2 equivalent for non-ETS heat imports is to be deducted from preliminary allocations for product benchmarks. The data needed for that correction is input in sheet "F_ProductBM", section (d) of each sub-installation.</t>
  </si>
  <si>
    <t>Therefore here a plausibility check for that data is included.</t>
  </si>
  <si>
    <t>i.</t>
  </si>
  <si>
    <t>ii.</t>
  </si>
  <si>
    <t>iii.</t>
  </si>
  <si>
    <t>Seawater Desalination</t>
  </si>
  <si>
    <t xml:space="preserve">Vacuum Distillation </t>
  </si>
  <si>
    <t xml:space="preserve">Solvent Deasphalting </t>
  </si>
  <si>
    <t xml:space="preserve">Visbreaking </t>
  </si>
  <si>
    <t xml:space="preserve">Delayed Coking </t>
  </si>
  <si>
    <t xml:space="preserve">Fluid Coking </t>
  </si>
  <si>
    <t xml:space="preserve">Flexicoking </t>
  </si>
  <si>
    <t xml:space="preserve">Coke Calcining </t>
  </si>
  <si>
    <t xml:space="preserve">Other Catalytic Cracking </t>
  </si>
  <si>
    <t>No.</t>
  </si>
  <si>
    <t>Please enter here the information relevant for identifying technical connections to your installation:</t>
  </si>
  <si>
    <t>This information is needed by the competent authority for ensuring consistency of the data provided, and for avoiding double counting of allocation data.</t>
  </si>
  <si>
    <t>Name of installation or entity</t>
  </si>
  <si>
    <t>Type of entity</t>
  </si>
  <si>
    <t>Type of connection</t>
  </si>
  <si>
    <t>Total Historical activity level (HAL), composed from the median of the baseline period, and the application of Article 9(6) and 9(9), as applicable.</t>
  </si>
  <si>
    <t>Calculation factor for taking into account the exchangeability of electricity and heat in accordance with Article 14 of the CIMs</t>
  </si>
  <si>
    <t>Amount to be added to the preliminary annual amount of allowances for steam cracking sub-installations in accordance with Article 11 of the CIMs</t>
  </si>
  <si>
    <t>Amount to be deducted from the preliminary annual amount of allowances in accordance with Article 13 of the CIMs</t>
  </si>
  <si>
    <t>Calculation factor for taking into account hydrogen-related emissions in vinylchloride monomer sub-installations in accordance with Article 12 of the CIMs</t>
  </si>
  <si>
    <t>EUconst_HCUF</t>
  </si>
  <si>
    <t>HCUF_</t>
  </si>
  <si>
    <t>Reference filename:</t>
  </si>
  <si>
    <t>Information about this file:</t>
  </si>
  <si>
    <t>Version list</t>
  </si>
  <si>
    <t>Languages list</t>
  </si>
  <si>
    <t>Entries here are optional for product BM sub-installation but are mandatory for fall-back sub-installations if the following conditions are met:</t>
  </si>
  <si>
    <t>the initial installed capacity has not been provided for any previous applications after 30 June 2011, and</t>
  </si>
  <si>
    <t>Is the capacity relevant for further calculations. For greenfield plants it is equal to the initial installed capacity. For significant changes it is the difference between the new and the initial installed capacity.</t>
  </si>
  <si>
    <t>18(2) SCUF</t>
  </si>
  <si>
    <t>18(2) SCUF/RCUF</t>
  </si>
  <si>
    <t>Standard or relevant capacity utilisation factor used for application of Article 18(2) of the CIMs</t>
  </si>
  <si>
    <t>The activity level relevant for calculation of the preliminary allocation. In case of significant changes it is the activity level related to the added or reduced capacity.</t>
  </si>
  <si>
    <t>Preliminary annual number of emission allowances allocated free of charge in accordance with Article 19 of the CIMs, i.e. before any of the CL exposure factor, linear factor or cross-sectoral correction factor are applied.</t>
  </si>
  <si>
    <t xml:space="preserve">ALini </t>
  </si>
  <si>
    <t xml:space="preserve">ALnew </t>
  </si>
  <si>
    <t>Calendar year in which the partial cessation or the recover from partial cessation took place</t>
  </si>
  <si>
    <t>Initial activity level</t>
  </si>
  <si>
    <t>This section is used for entering the allocation situation of the installation before the current application to which this file refers. The following inputs are needed (if applicable):</t>
  </si>
  <si>
    <t>Allocation granted as part of the NIMs, to be entered in section A.III.1 below</t>
  </si>
  <si>
    <t>This section is mandatory for all installations that have already reported partial cessation or recovery from partial cessation prior to this current application.</t>
  </si>
  <si>
    <t>significant capacity extension</t>
  </si>
  <si>
    <t>significant capacity reduction</t>
  </si>
  <si>
    <t>A Chronological listing of all allocation changes before this current application (A.III.2)</t>
  </si>
  <si>
    <t>Allocations to new entrants (greenfield plants and significant capacity extensions) to be entered under section A.III.3 below.</t>
  </si>
  <si>
    <t>Reductions of allocation due to significant capacity reductions also to be entered under section A.III.3 below.</t>
  </si>
  <si>
    <t>Changes to the allocation for free as consequence of significant capacity changes, and for greenfield new entrants</t>
  </si>
  <si>
    <t xml:space="preserve">Note: Entries here are only relevant for incumbent installations as defined in Article 3(a) of the CIMs. </t>
  </si>
  <si>
    <t>Click here to return to sheet F_ProductBM</t>
  </si>
  <si>
    <t>This tool helps you determine the HAL (historical activity levels) for the refinery benchmark (Annex III point 1 of the CIMs).</t>
  </si>
  <si>
    <t>HALspecial_</t>
  </si>
  <si>
    <t>Simple heat tool (E.II.1)</t>
  </si>
  <si>
    <t>Complex heat tool (E.II.2)</t>
  </si>
  <si>
    <t>EUconst_HeatToolComplex</t>
  </si>
  <si>
    <t>EUconst_HeatToolSelection</t>
  </si>
  <si>
    <t>Fall-Back Sub-installation</t>
  </si>
  <si>
    <t>EUconst_FBSubinst</t>
  </si>
  <si>
    <t>EUconst_MsgEnterThisSection</t>
  </si>
  <si>
    <t>Please enter data in this section!</t>
  </si>
  <si>
    <t>Please proceed to the next sub-installation!</t>
  </si>
  <si>
    <t>EUconst_MsgGoToNextSubInst</t>
  </si>
  <si>
    <t>EUconst_MsgBackToSheetF</t>
  </si>
  <si>
    <t>EUconst_HeatToolSimple</t>
  </si>
  <si>
    <t>This point is only relevant in case of significant capacity extensions.</t>
  </si>
  <si>
    <t>When possible, the activity level will be based on the physically added capacity: e.g. when the capacity extension consists of a new production line, the activity level related to the added capacity is the production of the new production line.</t>
  </si>
  <si>
    <t>If this is the case you should choose "Related to added capacity"</t>
  </si>
  <si>
    <t>If this is the case you should choose "Total activity"</t>
  </si>
  <si>
    <t>Total activity</t>
  </si>
  <si>
    <t>relevant activity level</t>
  </si>
  <si>
    <t>activity level used</t>
  </si>
  <si>
    <t>Total activity level</t>
  </si>
  <si>
    <t>If several different waste gases are relevant in your installation, please submit details in separate files using this tool.</t>
  </si>
  <si>
    <t>EUconst_kNm3pa</t>
  </si>
  <si>
    <t>EUconst_TonnesOrkNm3pa</t>
  </si>
  <si>
    <t>Net calorific value</t>
  </si>
  <si>
    <t>You may choose to report either as GJ/t or as GJ/1000 Nm3. The units must be consistent with those for the amounts above.</t>
  </si>
  <si>
    <t>EUconst_GJperTorKNm3</t>
  </si>
  <si>
    <t>GJ/1000Nm3</t>
  </si>
  <si>
    <t>EUconst_GJperUnit</t>
  </si>
  <si>
    <t>Necessary assumptions:</t>
  </si>
  <si>
    <t>Reference efficiency for production of electricity:</t>
  </si>
  <si>
    <t>using natural gas:</t>
  </si>
  <si>
    <t>using waste gas:</t>
  </si>
  <si>
    <t>Emissions factor for natural gas:</t>
  </si>
  <si>
    <t>Emissions to be subtracted for taking into account the technically usable energy content:</t>
  </si>
  <si>
    <t>Process emissions calculated taking into account the correction for waste gases (=d-i)</t>
  </si>
  <si>
    <t>Result of waste gas tool:</t>
  </si>
  <si>
    <t>Total net amount of electricity produced in the installation before the start of normal operation</t>
  </si>
  <si>
    <t>The start of normal or changed operation will be calculated automatically and displayed under point (f) below.</t>
  </si>
  <si>
    <t>Please enter here the annual production data expressed as tonnes of lime, without correction for the composition data:</t>
  </si>
  <si>
    <t>Tool for calculating the historical activity levels for Dolime sub-installations</t>
  </si>
  <si>
    <t>Emissions and Energy Flows</t>
  </si>
  <si>
    <t>EUconst_HAL99unchanged</t>
  </si>
  <si>
    <t>HAL99unchanged_</t>
  </si>
  <si>
    <t>New activity level = the activity level in the year the partial cessation or the return from partial cessation took place</t>
  </si>
  <si>
    <t>The adjustment factor to be applied in accordance with Article 23(2) as of the calendar year following the one in which the partial cessation or the return from partial cessation took place</t>
  </si>
  <si>
    <t>Check: 30% / 50 000 EUA criterion</t>
  </si>
  <si>
    <t>Please enter here for each sub-installation the initial installed capacity, if relevant, in the unit which is automatically displayed.</t>
  </si>
  <si>
    <t>Greenfield plant:</t>
  </si>
  <si>
    <t>Ceased operations:</t>
  </si>
  <si>
    <t>Year of cessation:</t>
  </si>
  <si>
    <t>Reason for cessation:</t>
  </si>
  <si>
    <t>Eligibility and Cessation</t>
  </si>
  <si>
    <t>Calculation of annual amount of allowances allocated free of charge</t>
  </si>
  <si>
    <t>Please note that this date may in many cases be different from the start of normal or changed operation.</t>
  </si>
  <si>
    <t>RCUF entry is missing!</t>
  </si>
  <si>
    <t>EUconst_RCUFmissing</t>
  </si>
  <si>
    <t>The operator of this installation confirms that the installation has ceased operations.</t>
  </si>
  <si>
    <t>no partial cessation applicable for that year!</t>
  </si>
  <si>
    <t>Latest final allocation including adjustment factors resulting from partial cessations</t>
  </si>
  <si>
    <t>Total final added annual amount of allowances allocated free of charge:</t>
  </si>
  <si>
    <t>NER application</t>
  </si>
  <si>
    <t>Croatia</t>
  </si>
  <si>
    <t>HR</t>
  </si>
  <si>
    <t>Croatian</t>
  </si>
  <si>
    <t>hr</t>
  </si>
  <si>
    <t>Directive 2003/87/EC, as amended most recently by Directive 2009/29/EC (hereinafter "the EU ETS Directive") requires Member States to allocate allowances for free to installations based on Community-wide and fully-harmonised rules (Article 10a(1)). The Directive can be downloaded from:</t>
  </si>
  <si>
    <t xml:space="preserve">http://eur-lex.europa.eu/LexUriServ/LexUriServ.do?uri=CONSLEG:2011D0278:20111117:EN:PDF </t>
  </si>
  <si>
    <t>The CIMs include rules allocating allowances for free to new entrants, and for amending the amounts allocated for free in case of significant capacity reductions, cessations and partial cessations of installations.</t>
  </si>
  <si>
    <t xml:space="preserve">This template has been developed on behalf of the Commission by its consultant (Umweltbundesamt GmbH, Austria).
The views expressed in this file represent the views of the authors and not necessarily those of the European Commission. </t>
  </si>
  <si>
    <t>It is especially important to fill in sheet "A_InstallationData", III to V. Without correct information there, calculation results may be wrong, or data for sub-installations may not be possible to be entered correctly.</t>
  </si>
  <si>
    <t>Error messages are often very short due to the little space available. The most important ones are:</t>
  </si>
  <si>
    <t>DELETE</t>
  </si>
  <si>
    <t>Adjustment factors applied for partial cessations and recovery after partial cessation</t>
  </si>
  <si>
    <t>For fast data entries in simple cases, where most entries will be "100%" or zero, percentages are the better choice.</t>
  </si>
  <si>
    <t>(c)</t>
  </si>
  <si>
    <t>Distribution of fuel input to different uses (absolute values)</t>
  </si>
  <si>
    <t>Measurable heat</t>
  </si>
  <si>
    <t>Usage type of fuel input</t>
  </si>
  <si>
    <t>Total net amount of measurable heat produced in the installation:</t>
  </si>
  <si>
    <t>Measurable heat produced</t>
  </si>
  <si>
    <t>Heat used for electricity production</t>
  </si>
  <si>
    <t>Measurable heat imported from installations covered by the EU ETS:</t>
  </si>
  <si>
    <t>Name of installation</t>
  </si>
  <si>
    <t>Total measurable heat</t>
  </si>
  <si>
    <t>Sum of measurable heat available at installation (=a+b+c)</t>
  </si>
  <si>
    <t>(e)</t>
  </si>
  <si>
    <t>(f)</t>
  </si>
  <si>
    <t>Total heat exported to ETS installations</t>
  </si>
  <si>
    <t>Detail address to be provided by the Member State</t>
  </si>
  <si>
    <t>Information sources:</t>
  </si>
  <si>
    <t>EU Websites:</t>
  </si>
  <si>
    <t xml:space="preserve">http://eur-lex.europa.eu/en/index.htm </t>
  </si>
  <si>
    <t>EU-Legislation:</t>
  </si>
  <si>
    <t>EU ETS general:</t>
  </si>
  <si>
    <t>Other Websites:</t>
  </si>
  <si>
    <t>&lt;to be provided by Member State&gt;</t>
  </si>
  <si>
    <t>Helpdesk:</t>
  </si>
  <si>
    <t>&lt;to be provided by Member State, if relevant&gt;</t>
  </si>
  <si>
    <t>Black bold text:</t>
  </si>
  <si>
    <t>Smaller italic text:</t>
  </si>
  <si>
    <t>Shaded fields indicate that an input in another field makes the input here irrelevant.</t>
  </si>
  <si>
    <t>For product benchmarks the total amount of measured heat is asked under (g) below. The amount of "non-eligible" heat is taken as sum of inputs in sheet "F_ProductBM", section (d).i of each sub-installation (shown here below under (g).ii ).</t>
  </si>
  <si>
    <t>Further guidance as provided by the Member State:</t>
  </si>
  <si>
    <t>Date</t>
  </si>
  <si>
    <t>Name and Signature of 
legally responsible person</t>
  </si>
  <si>
    <t>(a)</t>
  </si>
  <si>
    <t>CONTENTS</t>
  </si>
  <si>
    <t>GUIDELINES AND CONDITIONS</t>
  </si>
  <si>
    <t>Austria</t>
  </si>
  <si>
    <t>Belgium</t>
  </si>
  <si>
    <t>Bulgaria</t>
  </si>
  <si>
    <t>Cyprus</t>
  </si>
  <si>
    <t>Czech Republic</t>
  </si>
  <si>
    <t>Denmark</t>
  </si>
  <si>
    <t>Estonia</t>
  </si>
  <si>
    <t>Finland</t>
  </si>
  <si>
    <t>France</t>
  </si>
  <si>
    <t>Important note:  In accordance with Annex II of the CIMs, the units for reporting are kilotonnes throughput.</t>
  </si>
  <si>
    <t>Important note: The reporting is done in ktonnes, but the benchmark is expressed in t CO2/CWT, where CWT is expressed in tonnes.</t>
  </si>
  <si>
    <t xml:space="preserve">This is the amount of heat used for electricity production and heat consumed within product benchmark sub-installations. </t>
  </si>
  <si>
    <t>This amount must be consistent with the amount of waste gas under point (f) below.</t>
  </si>
  <si>
    <t>Only waste gas which is used for the production of heat or electricity is relevant. If the waste gas is flared, only the amount relating to safety flaring is relevant.</t>
  </si>
  <si>
    <t>MSconst_RequireDetailedProductionData</t>
  </si>
  <si>
    <t>http://ec.europa.eu/eurostat/ramon/nomenclatures/index.cfm?TargetUrl=LST_CLS_DLD&amp;StrNom=PRD_2007&amp;StrLanguageCode=EN&amp;StrLayoutCode=</t>
  </si>
  <si>
    <t>MSconst_RequireDetailesFallBack</t>
  </si>
  <si>
    <t>Member States may decide to require this information mandatorily.</t>
  </si>
  <si>
    <t>Linear factor</t>
  </si>
  <si>
    <t xml:space="preserve">Carbon leakage factor </t>
  </si>
  <si>
    <t>Private households</t>
  </si>
  <si>
    <t>Important note:</t>
  </si>
  <si>
    <t>Waste gases</t>
  </si>
  <si>
    <t>EUconst_RelevantNotRelevant</t>
  </si>
  <si>
    <t>Carbon leakage</t>
  </si>
  <si>
    <t>not exposed to carbon leakage</t>
  </si>
  <si>
    <t>EUconst_CLnonCL</t>
  </si>
  <si>
    <t>Pursuant to the definition given in Article 3(h) of the CIMs, (combustible) waste gases occuring outside the boundaries of product benchmarks are considered process emissions.</t>
  </si>
  <si>
    <t>However, for waste gases a CO2 amount equivalent to natural gas used for the "technically usable energy content" is to be subtracted from the total process emissions.</t>
  </si>
  <si>
    <t>In order to determine the "technically usable energy content" the following information is needed:</t>
  </si>
  <si>
    <t>Type of waste gas:</t>
  </si>
  <si>
    <t>Net calorific value of the waste gas</t>
  </si>
  <si>
    <t>Emission factor of natural gas: 56.1 t CO2/TJ.</t>
  </si>
  <si>
    <t>Net calorific value of the waste gas;</t>
  </si>
  <si>
    <t>Tool for calculating the amount of process emissisons if waste gases are produced outside product benchmarks</t>
  </si>
  <si>
    <t>For existing installations new sub-installations are the result of a physical change. Selecting a new sub-installation means that a sub-installation is now relevant that has not been relevant at the installation before this application.</t>
  </si>
  <si>
    <t>http://ec.europa.eu/clima/policies/ets/benchmarking/documentation_en.htm</t>
  </si>
  <si>
    <t>Guidance documents and templates published by the Commission regarding allocation rules:</t>
  </si>
  <si>
    <t>For the definition of the different change types and criteria for their applicability, please refer to guidance document no. 7 published by the Commission.</t>
  </si>
  <si>
    <t>The initial installed capacity is needed for calculating the applicable activity level of the changed or new sub-installation, which is needed for calculating the free allocation of that sub-installation.</t>
  </si>
  <si>
    <t>The initial installed capacity is the latest installed capacity which the competent authority has approved before the significant capacity change relevant for this application. This can be one of the following options:</t>
  </si>
  <si>
    <t>Capacity has been reported for the NIMs, thereafter no significant capacity change has been approved by the competent authority. The following options can be selected:</t>
  </si>
  <si>
    <t>Please indicate here if sub-installations are relevant for this application other than those mentioned already in section A.III.</t>
  </si>
  <si>
    <t>In the case of greenfield plants all sub-installations are new sub-installations.</t>
  </si>
  <si>
    <t>Sub-installations relevant at your installation at the time of this application</t>
  </si>
  <si>
    <t xml:space="preserve">The first green column is automatically filled with the sub-installations you have indicated in section A.III. New sub-installations must be selected in the column "New sub-installation". </t>
  </si>
  <si>
    <t>Sub-installations 1 to 10 are reserved for product benchmarks. Sub-installation with fall-back approaches range from numbers 11 to 16.</t>
  </si>
  <si>
    <t>Please enter here a brief description how the design capacity has been determined.</t>
  </si>
  <si>
    <t>Technical connections (section A.VI):</t>
  </si>
  <si>
    <t>If you have chosen "percentages" under point (a) above, the data to be entered here refers to percent of the data shown under section I above.</t>
  </si>
  <si>
    <t>NIMs Article 9(9): The installation has undergone significant capacity changes between 1.1.2005 and 30.6.2011. Installed capacity to be reported is the last installed capacity used for calculating the allocation pursuant to Article 9(9) of the CIMs.</t>
  </si>
  <si>
    <t>Notes:</t>
  </si>
  <si>
    <t>Pursuant to Article 17(4) of the CIMs the initial installed capacity has to be determined "...in accordance with the methodology set out in Article 7 (3) ...". The reference here is made to the methodology for determining capacity, not to the entire paragraph (including 2005-2008). Therefore, the capacity is determined by the two highest monthly production volumes in the relevant period and not on the basis of experimental verification except for cases of force majeure (when all data have been lost).</t>
  </si>
  <si>
    <t>How the initial installed capacity has been determined must be reported in the column "capacity source", using the methods listed above.</t>
  </si>
  <si>
    <t>Installation ID is mandatory if the connected installation is covered by the EU ETS.</t>
  </si>
  <si>
    <t>Final total allocation of the installation</t>
  </si>
  <si>
    <t>Please note that "changes" relevant for this current application should not be entered in this section.</t>
  </si>
  <si>
    <t>The activity levels as input in sheet "ProductBM", section (a), under the appropriate sub-installation;</t>
  </si>
  <si>
    <t xml:space="preserve">You are advised to avoid supplying non-relevant information as it can slow down the approval of this report. </t>
  </si>
  <si>
    <t>Emissions related to heat benchmark sub-installations</t>
  </si>
  <si>
    <t>List of technical connections for drop-downlists:</t>
  </si>
  <si>
    <t>sorted line</t>
  </si>
  <si>
    <t>interim value</t>
  </si>
  <si>
    <t>Name of Transfer Entity</t>
  </si>
  <si>
    <t>Net amount measurable heat consumed in the installation and eligible under heat benchmark:</t>
  </si>
  <si>
    <t>Sub-total</t>
  </si>
  <si>
    <t>Highest monthly production data or activity data:</t>
  </si>
  <si>
    <t>EUconst_HAL99deltaC</t>
  </si>
  <si>
    <t>Does the installation produce heat?</t>
  </si>
  <si>
    <t>Flow direction options are (perspective of the installation to which this report refers):</t>
  </si>
  <si>
    <t>Import (to this installation)</t>
  </si>
  <si>
    <t>Export (from this installation)</t>
  </si>
  <si>
    <t>Yellow fields indicate mandatory inputs. However, if the topic is not relevant for the installation, no input is required.</t>
  </si>
  <si>
    <t>EUconst_HCUFrange</t>
  </si>
  <si>
    <t>0 &lt;= HCUF &lt;=1 !</t>
  </si>
  <si>
    <t>Please enter here for each sub-installation and each given year the two highest monthly production values, in the unit which is automatically displayed.</t>
  </si>
  <si>
    <t>ausblenden</t>
  </si>
  <si>
    <t>For control purposes, the inputs are displayed here in the unit which you have not chosen for input:</t>
  </si>
  <si>
    <t xml:space="preserve">Special care should be taken for attribution of energy input to the two sub-installations which are relevant for allocation purposes: </t>
  </si>
  <si>
    <t>Fuel benchmark sub-installation "CL" (exposed to a significant risk of Carbon Leakage) and "non-CL" (not exposed to carbon leakage risk).</t>
  </si>
  <si>
    <t>For control purposes, the rest (100% minus total of inputs) is displayed in the bottom line. This refers to energy input which is not eligible for allocation.</t>
  </si>
  <si>
    <t>This includes in particular installations that are kept in reserve or on standby and installations operating on a seasonal schedule (Article 9(8) of the CIMs).</t>
  </si>
  <si>
    <t>Conditions:</t>
  </si>
  <si>
    <t xml:space="preserve">it is clearly demonstrated that the installation is used occasionally, in particular, operated regularly as standby or reserve capacity or operated regularly following a seasonal schedule;
</t>
  </si>
  <si>
    <t>the installation is covered by a greenhouse gas emissions permit and by all other relevant permits required in the national legal order of the Member State to operate the installation;</t>
  </si>
  <si>
    <t>The results displayed here are by no means legally binding. Please see disclaimer in the introduction of this section.</t>
  </si>
  <si>
    <t>EUconst_HouseholdReportMethods</t>
  </si>
  <si>
    <t>Baseline Data</t>
  </si>
  <si>
    <t>Please continue with point (e)!</t>
  </si>
  <si>
    <t>Please continue with data entry under points (c) and (d)!</t>
  </si>
  <si>
    <t>EUconst_MsgGoOn_cd</t>
  </si>
  <si>
    <t>EUconst_MsgGoOn_e</t>
  </si>
  <si>
    <t>Sheet "StartingDate" - Start of normal or changed operation</t>
  </si>
  <si>
    <t>New sub-installation</t>
  </si>
  <si>
    <t>Date of start-up</t>
  </si>
  <si>
    <t>the amount of allowances allocated free of charge depends on the start of normal or changed operation.</t>
  </si>
  <si>
    <t>an application should be submitted within one year after the start of normal or changed operation.</t>
  </si>
  <si>
    <t>Determination of the new activity level</t>
  </si>
  <si>
    <t>Is this sub-installation the first sub-installation of a greenfield plant to start normal operation?</t>
  </si>
  <si>
    <t>Start date</t>
  </si>
  <si>
    <t>Days remain</t>
  </si>
  <si>
    <t>Initial C</t>
  </si>
  <si>
    <t>New C</t>
  </si>
  <si>
    <t>The start of normal or changed operation, whatever relevant</t>
  </si>
  <si>
    <t>Name of receiving entity or installation</t>
  </si>
  <si>
    <t>Total heat exported to outside ETS:</t>
  </si>
  <si>
    <t>(h)</t>
  </si>
  <si>
    <t>Total heat benchmark sub-installations:</t>
  </si>
  <si>
    <t>(i)</t>
  </si>
  <si>
    <t>EUconst_NA</t>
  </si>
  <si>
    <t>For each type of fall-back approach, a maximum of two sub-installations may exist, one exposed to significant risk of carbon leakage, the other non-exposed.</t>
  </si>
  <si>
    <t>CL exposed?</t>
  </si>
  <si>
    <t>Heat benchmark sub-installation, CL</t>
  </si>
  <si>
    <t>Heat benchmark sub-installation, non-CL</t>
  </si>
  <si>
    <t>Fuel benchmark sub-installation, CL</t>
  </si>
  <si>
    <t>Fuel benchmark sub-installation, non-CL</t>
  </si>
  <si>
    <t>Process emissions sub-installation, CL</t>
  </si>
  <si>
    <t>Process emissions sub-installation, non-CL</t>
  </si>
  <si>
    <t>Fall-back Sub-Installation List</t>
  </si>
  <si>
    <t>Sub-inst</t>
  </si>
  <si>
    <t>TJ</t>
  </si>
  <si>
    <t>t CO2e</t>
  </si>
  <si>
    <t>EUconst_TJ</t>
  </si>
  <si>
    <t>EUconst_tCO2e</t>
  </si>
  <si>
    <t>Sorting</t>
  </si>
  <si>
    <t>CWT function</t>
  </si>
  <si>
    <t>CWT factor</t>
  </si>
  <si>
    <t>Atmospheric Crude Distillation</t>
  </si>
  <si>
    <t>Germany</t>
  </si>
  <si>
    <t>Greece</t>
  </si>
  <si>
    <t>Hungary</t>
  </si>
  <si>
    <t>Ireland</t>
  </si>
  <si>
    <t>Italy</t>
  </si>
  <si>
    <t>Latvia</t>
  </si>
  <si>
    <t>Lithuania</t>
  </si>
  <si>
    <t>Luxembourg</t>
  </si>
  <si>
    <t>Malta</t>
  </si>
  <si>
    <t>Netherlands</t>
  </si>
  <si>
    <t>Poland</t>
  </si>
  <si>
    <t>Iceland</t>
  </si>
  <si>
    <t>Charcoal</t>
  </si>
  <si>
    <t>Other Liquid Biofuels</t>
  </si>
  <si>
    <t>Landfill Gas</t>
  </si>
  <si>
    <t>Sludge Gas</t>
  </si>
  <si>
    <t>Other Biogas</t>
  </si>
  <si>
    <t>This amount must be consistent with the carbon leakage status selected under point (b) above.</t>
  </si>
  <si>
    <t>Here the refinery activity level is calculated using the formula given in the CIMs, Annex III point 1 (before determining the median value).</t>
  </si>
  <si>
    <t>EUconst_CWTpa</t>
  </si>
  <si>
    <t>This factor is dimensionless. You can either enter a value between 0 and 1 or between 0% and 100%. In the second case Excel will translate the entry into a number.</t>
  </si>
  <si>
    <t xml:space="preserve">In case the installation is a greenfield plant, additional allowances shall be allocated on the basis of historic emissions expressed as tonnes of carbon dioxide equivalent in accordance with Article 19(2). Therefore, it is necessary to enter here the independently verified emissions which occurred prior to the start of normal operation (data of the full phase, not monthly data). </t>
  </si>
  <si>
    <t>Please enter here the monthly total emissions and the total energy input from fuels starting with the month of the start of normal or changed operation, whatever relevant. For determining which months are to be reported, see guidance document No. 7, chapter 3.2.2, 4.3, or 5.2, as appropriate.</t>
  </si>
  <si>
    <t>If no partial cessations are relevant you can move on to the next sheet.</t>
  </si>
  <si>
    <t>In case the installation is a greenfield plant please attribute here the fuel inputs in the phase prior to the start of normal operation (data of the full phase, not monthly data) to the relevant categories.</t>
  </si>
  <si>
    <t>Heat consumed in product benchmark sub-installations</t>
  </si>
  <si>
    <t>Please enter in the table below the the amount of energy consumed for each use type, or - depending on input (b) - the percentage of amount (a).</t>
  </si>
  <si>
    <t>Measurable heat delivered to other sub-installations is to be treated like heat from non-ETS sources.</t>
  </si>
  <si>
    <t>Exchangeability of fuel and electricity:</t>
  </si>
  <si>
    <t>Identification of relevant products or services associated with this sub-installation</t>
  </si>
  <si>
    <t>Draft II NIMs baseline data</t>
  </si>
  <si>
    <t>NIMs 2nd draft</t>
  </si>
  <si>
    <t>The table also displays the values of CF(EOE) used for calculation. CF(EOE) is the conversion factor for each substance relative to ethylene oxide.</t>
  </si>
  <si>
    <t>Input in A.III.3 !</t>
  </si>
  <si>
    <t>Installation data</t>
  </si>
  <si>
    <t>BM value</t>
  </si>
  <si>
    <t>non-ETS heat</t>
  </si>
  <si>
    <t>Transferred or stored emissions</t>
  </si>
  <si>
    <t>EUconst_MBSource</t>
  </si>
  <si>
    <t>EUconst_CEMSSource</t>
  </si>
  <si>
    <t>EUconst_N2OSource</t>
  </si>
  <si>
    <t>Please choose the type of changes for this current application!</t>
  </si>
  <si>
    <t>Significant capacity extensions (Article 20 of the CIMs) and/or reductions (Article 21 of the CIMs)</t>
  </si>
  <si>
    <t>There are the following three possible types of allocation change:</t>
  </si>
  <si>
    <t>Please note that significant changes and partial cessations, if both relevant, can both be treated within only one application.</t>
  </si>
  <si>
    <t>If the installation ceased operations, there is no obligation to report further detailed data in the following data sheets. It is only mandatory to complete section A.VI of this sheet ("InstallationData").</t>
  </si>
  <si>
    <t>EUconst_PrivateHouseholds</t>
  </si>
  <si>
    <t>content of free CaO in the produced dolime in each year of the baseline period expressed as mass-%</t>
  </si>
  <si>
    <t>In case no data on the content of free CaO is available, a conservative estimate not lower than 52% shall be applied.</t>
  </si>
  <si>
    <t>In case no data on the content of free MgO is available, a conservative estimate not lower than 33% shall be applied.</t>
  </si>
  <si>
    <t>Result: Activity levels for dolime expressed as standard pure dolime</t>
  </si>
  <si>
    <t>EUconst_CNTR_Check5Pct</t>
  </si>
  <si>
    <t>Check5Pct_</t>
  </si>
  <si>
    <t>The value calculated here is (RCUF entered under (g)) x (new, added or reduced capacity calculated under (e) above). This can only be calculated if no error messages are displayed under points (e) and (g).</t>
  </si>
  <si>
    <t>The value calculated here is (SCUF under (j)) x (new, added or reduced capacity calculated under (h) above). This can only be calculated if no error messages are displayed under point (h).</t>
  </si>
  <si>
    <t>History of allocation "changes" after 30 June 2011</t>
  </si>
  <si>
    <t>"Other emissions (non-eligible)" refers to emissions related to flaring other than safety flaring, and other emissions which do not lead to allocations.</t>
  </si>
  <si>
    <t>For CHP units, please use the formula provided on page 26 of Guidance Document 6 to attribute the resulting emissions to the electricity and to the heat production.</t>
  </si>
  <si>
    <t>Balance of measurable heat at the installation</t>
  </si>
  <si>
    <t>EUconst_PulpPlacedOnMarket</t>
  </si>
  <si>
    <t>CSCF</t>
  </si>
  <si>
    <t>Sum</t>
  </si>
  <si>
    <t>Please note that the answer here will only have an impact on this current application in case you apply for a significant capacity reduction.</t>
  </si>
  <si>
    <t>Please note that the CSCF is only relevant for significant capacity reductions of incumbents that have not been classified as electricity generators.</t>
  </si>
  <si>
    <t>It is mandatory to answer questions (b) and (d)!</t>
  </si>
  <si>
    <t>2006 IPCC Guidelines</t>
  </si>
  <si>
    <t>(except biomass)</t>
  </si>
  <si>
    <t>Aviation gasoline (AvGas)</t>
  </si>
  <si>
    <t>Jet gasoline (Jet B)</t>
  </si>
  <si>
    <t>Jet kerosene (jet A1 or jet A)</t>
  </si>
  <si>
    <t>46.4</t>
  </si>
  <si>
    <t>n.a.</t>
  </si>
  <si>
    <t>Biogasoline</t>
  </si>
  <si>
    <t>Biodiesels</t>
  </si>
  <si>
    <t>Waste Tyres</t>
  </si>
  <si>
    <t>Carbon Monoxide</t>
  </si>
  <si>
    <t>Methane</t>
  </si>
  <si>
    <t>MS Fuel Category list (Generic List is taken from MRG 2007 Annex I section 11 Table 4)</t>
  </si>
  <si>
    <t>&lt;END of list&gt;</t>
  </si>
  <si>
    <t>Please note: When this list is amended by the MS competent authority, the following technicalities are to be respected:</t>
  </si>
  <si>
    <t>1. the Grey area must be identical to the list which is to appear in the drop down list of sheet "SourceStreams" section I.x.a (x=Fuel number)</t>
  </si>
  <si>
    <t>2. No empty cells should be contained in the grey area (otherwise the operater can enter values which are not contained in the list)</t>
  </si>
  <si>
    <t>Fuel input for production of measurable heat</t>
  </si>
  <si>
    <t>Net electricity produced from fuels</t>
  </si>
  <si>
    <t>Indicative expected final amount of free allowances:</t>
  </si>
  <si>
    <t>List of technical connections</t>
  </si>
  <si>
    <t>Benchmark List</t>
  </si>
  <si>
    <t>Activity (Annex I ETS Directive)</t>
  </si>
  <si>
    <t>No. of BM</t>
  </si>
  <si>
    <t>alternative BM No.</t>
  </si>
  <si>
    <t>Product benchmark</t>
  </si>
  <si>
    <t>Carbon leakage?</t>
  </si>
  <si>
    <t>Benchmark value (EUA/t)</t>
  </si>
  <si>
    <t>Exchangeability electricity</t>
  </si>
  <si>
    <t xml:space="preserve">Refining of mineral oil </t>
  </si>
  <si>
    <t>Refinery products</t>
  </si>
  <si>
    <t>CWT</t>
  </si>
  <si>
    <t xml:space="preserve">Production of coke </t>
  </si>
  <si>
    <t>Coke</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</si>
  <si>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</si>
  <si>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</si>
  <si>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</si>
  <si>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</si>
  <si>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</si>
  <si>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</si>
  <si>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</si>
  <si>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</si>
  <si>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</si>
  <si>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</si>
  <si>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</si>
  <si>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</si>
  <si>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SIG_</t>
  </si>
  <si>
    <t>EUconst_CNTR_SIG</t>
  </si>
  <si>
    <t xml:space="preserve">For significant capacity reductions this design capacity shall relate to the remaining design capacity. </t>
  </si>
  <si>
    <t xml:space="preserve">For significant capacity extensions this design capacity shall relate to the added design capacity. </t>
  </si>
  <si>
    <t>Result: Start of normal or changed operation</t>
  </si>
  <si>
    <t>This date is only displayed if the accumulated activity levels entered under point (c) above reach at least 40% of the design capacity entered under point (a) above over the 90 day period.</t>
  </si>
  <si>
    <t>Initial installed capacity</t>
  </si>
  <si>
    <t>New installed capacity</t>
  </si>
  <si>
    <t>Installations that are operated only occasionally:</t>
  </si>
  <si>
    <t>It is recommended that you go through the file from start to end. There are a few functions which will guide you through the form which depend on previous input, such as cells changing colour if an input is not needed (see colour codes below). However, sometimes it is relevant to first continue data input in another sheet before going on (e.g. "H_specialBM" needs input before "F_ProductBM" can be finalised in cases where Annex III of the CIMs must be applied).</t>
  </si>
  <si>
    <t>The installation is not operating, but has been operating before and the operator cannot prove that operation can resume within 6 months after having ceased operations. Member States may extend this period up to a maximum of 18 months if the operator can prove that this situation is due to exceptional and unforeseeable circumstances that could not have been avoided even if all due care had been exercised and that are beyond the control of the operator of the installation concerned, in particular because of circumstances such as natural disasters, war, threats of war, terrorist acts, revolution, riot, sabotage or acts of vandalism.”</t>
  </si>
  <si>
    <t>This means that as a general rule, an installation which is not operating anymore as an ETS installation because of technical or legal reasons, and is not able to start operation again within 6 months, is considered to have ceased operation.</t>
  </si>
  <si>
    <t>This includes installations which do not fall anymore within the scope of the ETS. Following Art. 22 (2) of the CIMs, item e) is not applicable for installations which are kept in reserve or standby and installations which are operated on a seasonal schedule. Therefore such installations are not considered to have ceased operations.</t>
  </si>
  <si>
    <t>b) A permit referred to under point (a) has been withdrawn</t>
  </si>
  <si>
    <t>Please identify the permit that has expired or been withdrawn:</t>
  </si>
  <si>
    <t>This section of the template is be used for reporting that an installation has (completely) ceased operations.</t>
  </si>
  <si>
    <t xml:space="preserve">Please list here the allocation granted for each sub-installation based on the baseline data collection carried out in your Member State for the purpose of the National Implementation Measures (NIMs) pursuant to Article 11(1) of the EU ETS Directive, following Article 7 of the CIMs. </t>
  </si>
  <si>
    <t>The amounts to be entered here should reflect the final total amount of allowances allocated free of charge in accordance with Article 10(9) of the CIMs, i.e. allocation values with either the linear factor or the cross-sectoral correction factor applied, as appropriate. The values should be taken from section K.V.2.c of the NIMs baseline data collection report, provided that the competent authority has approved the data therein, and the European Commission has published the cross-sectoral uniform correction factor which has to be entered in section K.V.2.b of that file.</t>
  </si>
  <si>
    <t>Production details</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</si>
  <si>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</si>
  <si>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</si>
  <si>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In case the result is negative, it is set to zero.</t>
  </si>
  <si>
    <t>Consistency check with sheet "E_Energy flows":</t>
  </si>
  <si>
    <t>Identification of products included in this product benchmark sub-installation</t>
  </si>
  <si>
    <t>A product benchmark can encompass several similar products (or product groups). In some cases intermediates can be relevant for allocation purposes. The relevant products must be identified here in order to allow the competent authority to check if the boundaries defined for this product benchmark are respected.</t>
  </si>
  <si>
    <t>EUconst_Households</t>
  </si>
  <si>
    <t>households</t>
  </si>
  <si>
    <t>Amount of waste gases used for electricity production and for production of measurable or other heat outside of product benchmark sub-installations, or exported out of the installation;</t>
  </si>
  <si>
    <t>Assumptions for the different efficiency for the use of waste gas and natural gas. These assumptions are as follows:Efficiency of electricity production with natural gas is 52.5%, with waste gases 35%;</t>
  </si>
  <si>
    <t>outside product benchmarks</t>
  </si>
  <si>
    <t>Amount of waste gas per year</t>
  </si>
  <si>
    <t>Deduction for waste gases</t>
  </si>
  <si>
    <t>Green fields are used throughout the template for conditional formatting!</t>
  </si>
  <si>
    <t>Note:</t>
  </si>
  <si>
    <t>CNTR_Merger</t>
  </si>
  <si>
    <t>Please enter here a brief description of the legal background leading to the interpretation that merging installations are to be considered as one installation from now on.</t>
  </si>
  <si>
    <t>Please enter here the latest final total amount of allowances allocated free of charge without the application of adjustment factors in accordance to Article 23 of the CIMs.</t>
  </si>
  <si>
    <t>Latest final allocation without adjustment factors for any partial cessations</t>
  </si>
  <si>
    <t>Initial installed capacity and initial annual activity level</t>
  </si>
  <si>
    <t>Please enter here the values for the capacity and the activity level which have been used for the determination of the latest final allocation.</t>
  </si>
  <si>
    <t>Those values have to reflect the current initial installed capacity and the initial annual activity level and will be used for any future changes of allocation in accordance with Articles 19 to 23 of the CIMs.</t>
  </si>
  <si>
    <t>Merger of installations</t>
  </si>
  <si>
    <t>Split of installations</t>
  </si>
  <si>
    <t>Share</t>
  </si>
  <si>
    <t>from:</t>
  </si>
  <si>
    <t>to:</t>
  </si>
  <si>
    <t>Installation</t>
  </si>
  <si>
    <t>Annual activity level</t>
  </si>
  <si>
    <t>Installed capacity</t>
  </si>
  <si>
    <t>Has Entry?</t>
  </si>
  <si>
    <t>Initial installed capacity and annual activity level</t>
  </si>
  <si>
    <t>NER Merger Split</t>
  </si>
  <si>
    <t>NE&amp;C MergerSplit</t>
  </si>
  <si>
    <t>CNTR_YearMergerSplit</t>
  </si>
  <si>
    <t>Transfer from installation</t>
  </si>
  <si>
    <t>Transfer of allowances, capacity and activity level</t>
  </si>
  <si>
    <t>Please enter here the share of allowances, capacity and activity level transferred from the first installation.</t>
  </si>
  <si>
    <t>Description of the merger and/or split</t>
  </si>
  <si>
    <t>Latest final allocation with adjustment factors for any partial cessations</t>
  </si>
  <si>
    <t>Please enter here the latest final total amount of allowances allocated free of charge including the application of adjustment factors in accordance to Article 23 of the CIMs.</t>
  </si>
  <si>
    <t>This description has to make clear how the installations involved are technically connected, i.e. measurable heat, waste gases or CO2 is transferred to one another.</t>
  </si>
  <si>
    <t>Automatic Uniqe ID</t>
  </si>
  <si>
    <t>Manuell override (if i. not appropriate)</t>
  </si>
  <si>
    <t>Unique ID used for notification</t>
  </si>
  <si>
    <t>Installations involved in the merger, split or transfer</t>
  </si>
  <si>
    <t>EUconst_ERR_Mandatory_c</t>
  </si>
  <si>
    <t>It is mandatory that under A.I question (a) is answered!</t>
  </si>
  <si>
    <t>EUconst_ConfirmMergerSplit</t>
  </si>
  <si>
    <t>The operator has confirmed that this application is exclusively related to changes in installation boundaries and existing permits and also confirmed that no physical changes occurred.</t>
  </si>
  <si>
    <t>Most recent update of the permit:</t>
  </si>
  <si>
    <t>Please note that all entries here shall reflect information for the installation submitting this application as relevant AFTER the merger, split or transfer of parts of installations.</t>
  </si>
  <si>
    <t>Official date the merger, split or transfer of parts of installations occurred</t>
  </si>
  <si>
    <t>B. Initial Situation</t>
  </si>
  <si>
    <t>D. Summary</t>
  </si>
  <si>
    <t>Installation 1</t>
  </si>
  <si>
    <t>Installation 2</t>
  </si>
  <si>
    <t>Sheet name:</t>
  </si>
  <si>
    <t>Initial installation 1</t>
  </si>
  <si>
    <t>Initial installation 2</t>
  </si>
  <si>
    <t>Installations 1 and 2 are to be described for the situation BEFORE the merger, split or transfer of parts of installations.</t>
  </si>
  <si>
    <t>Installations 3 and 4 are to be described for the situation AFTER the merger, split or transfer of parts of installations.</t>
  </si>
  <si>
    <t>Installations 3 and 4 are to be described for the situation AFTER the merger, split or transfer of parts of installations, with installation 3 being the one submitting this application.</t>
  </si>
  <si>
    <t>Please note that often there will be less than 4 installations involved. For those cases, not all of the following sections need to be filled:</t>
  </si>
  <si>
    <t>Installation BEFORE merger, split or transfer</t>
  </si>
  <si>
    <t>Installation AFTER merger, split or transfer (submitting this application)</t>
  </si>
  <si>
    <t>Installation AFTER merger, split or transfer</t>
  </si>
  <si>
    <t>Sheet "Initial situation"</t>
  </si>
  <si>
    <t>Situation BEFORE the merger of installations</t>
  </si>
  <si>
    <t>Sheet "Merger, Split and Transfer"</t>
  </si>
  <si>
    <t>C. Merger, Split, Transfer</t>
  </si>
  <si>
    <t>Identification of all installations involved</t>
  </si>
  <si>
    <t>Confirmation of eligibility</t>
  </si>
  <si>
    <t>Installations involved</t>
  </si>
  <si>
    <t>Hyperlink:</t>
  </si>
  <si>
    <t>Sheet "Summary"</t>
  </si>
  <si>
    <t>Application form for merger, splits and transfer of parts of installations</t>
  </si>
  <si>
    <t>New final allocation:</t>
  </si>
  <si>
    <t>New allocation</t>
  </si>
  <si>
    <t>It is recommended that you go through the file from start to end. There are a few functions which will guide you through the form which depend on previous input, such as cells changing colour if an input is not needed (see colour codes below).</t>
  </si>
  <si>
    <t>First draft to DG CLIMA</t>
  </si>
  <si>
    <t>The CIMs do not contain any explicit provisions regarding mergers and splits of installations. Therefore, as a general rule, any change to free allocation following a merger or split of installations should be implemented in accordance with the New Entrants and Closures (NEC) rules foreseen by the CIMs.</t>
  </si>
  <si>
    <t>Under the framework of Harmonised Allocation Rules and when the conditions for a significant capacity change are met:</t>
  </si>
  <si>
    <t>A merger of two installations is realised as one installation ceasing operations and another one increasing its production capacity.</t>
  </si>
  <si>
    <t>A split of one installation in two (or more) should be implemented as a significant capacity reduction of the original installation and one (or more) new entrant(s) ("greenfield").</t>
  </si>
  <si>
    <t>Operators must report such changes following the normal NEC reporting procedure and the rules in the CIMs.</t>
  </si>
  <si>
    <t xml:space="preserve">With regard to the above, although mergers and splits are relatively common industrial administrative procedures resulting from changes in ownership, in the context of free allocation under the EU ETS, they need to be dealt with in accordance with the Harmonised Allocation Rules, i.e., through new entrants (greenfields), significant capacity changes and cessations.
</t>
  </si>
  <si>
    <t>Nevertheless, certain other changes to the allocation following a merger or a split may also be in line with the Harmonised Allocation Rules, provided that certain conditions are met:</t>
  </si>
  <si>
    <t>Installations have to be under the scope of the ETS and hold a GHG permit before and after the merger or split takes place</t>
  </si>
  <si>
    <t>A merger or split does not result in an allocation of more allowances than compared to the allocations reported in the National Allocation Table (NAT) before the merger or split</t>
  </si>
  <si>
    <t>In case of merging installations, in line with Article 3(e) of Directive 2003/87/EC, the merger relates to installations that are technically connected and which operate on the same site and are covered by the same permit after the merger takes place</t>
  </si>
  <si>
    <t>The installation(s) involved in the merger or split are covered by a greenhouse gas permit reflecting their new status</t>
  </si>
  <si>
    <t>It is mandatory that under A.I. question (d) is answered!</t>
  </si>
  <si>
    <t>CNTR_HasEntries_A_II:</t>
  </si>
  <si>
    <t>Please provide here information on all installations involved in the merger, split or transfer of parts of installations.</t>
  </si>
  <si>
    <t>in the case of a split, there will most commonly be one installation BEFORE the change and two installations AFTER the change</t>
  </si>
  <si>
    <t>in the case of a merger, there will most commonly be two installations BEFORE the change and only one AFTER the change</t>
  </si>
  <si>
    <t>New initial installed capacity and new annual activity level:</t>
  </si>
  <si>
    <t>Same installation as the one submitting this application?</t>
  </si>
  <si>
    <t>Installation name (from section II.)</t>
  </si>
  <si>
    <t>Installation name used for submission</t>
  </si>
  <si>
    <t>Please enter here "TRUE" if the installation's ID and data (section II above) BEFORE merger, split or transfer is the same as AFTER this change.</t>
  </si>
  <si>
    <t>Entering "FALSE" here indicates that installation ID or data is different.</t>
  </si>
  <si>
    <t>Manuell override (if name is different from i.)</t>
  </si>
  <si>
    <t>cond. form.?</t>
  </si>
  <si>
    <t>Note: This is the installation submitting this application. Entries here are therefore be identical to those in section II above.</t>
  </si>
  <si>
    <t>Automatic Unique Identifier provided by CA</t>
  </si>
  <si>
    <t>Unique Identifier used for notification</t>
  </si>
  <si>
    <t>Manual entry of Unique ID</t>
  </si>
  <si>
    <t>Automatic Registry Uniqe ID</t>
  </si>
  <si>
    <t>If not more than one installation BEFORE the merger, split or transfer is involved, this section has to be left empty.</t>
  </si>
  <si>
    <t>If not more than one installation AFTER the merger, split or transfer is involved, this section has to be left empty.</t>
  </si>
  <si>
    <t>This is the first draft this template, sent to the Technical Working Group on Benchmarks for comment on DD January 2015.</t>
  </si>
  <si>
    <t>Application for merger, split or transfer of parts of installations?</t>
  </si>
  <si>
    <t>Please confirm that the change in application described in this application is due to a merger, split or transfer of parts of installations only. By this it is also confirmed that there have not been any physical changes and this application is exclusively describing changes of installation boundaries and existing permits.</t>
  </si>
  <si>
    <t>First draft to TWG</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</si>
</sst>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Red]\-#,##0\ "/>
    <numFmt numFmtId="181" formatCode="#,##0.00_ ;[Red]\-#,##0.00\ "/>
    <numFmt numFmtId="182" formatCode="0.0000%"/>
    <numFmt numFmtId="183" formatCode="0.0000"/>
    <numFmt numFmtId="184" formatCode="[$-C07]dddd\,\ dd\.\ mmmm\ yyyy"/>
    <numFmt numFmtId="185" formatCode="0.00000000"/>
    <numFmt numFmtId="186" formatCode="0.0000000"/>
    <numFmt numFmtId="187" formatCode="0.000000"/>
    <numFmt numFmtId="188" formatCode="0.00000"/>
    <numFmt numFmtId="189" formatCode="0.000"/>
    <numFmt numFmtId="190" formatCode="0.0"/>
    <numFmt numFmtId="191" formatCode="&quot;Ja&quot;;&quot;Ja&quot;;&quot;Nein&quot;"/>
    <numFmt numFmtId="192" formatCode="&quot;Wahr&quot;;&quot;Wahr&quot;;&quot;Falsch&quot;"/>
    <numFmt numFmtId="193" formatCode="&quot;Ein&quot;;&quot;Ein&quot;;&quot;Aus&quot;"/>
    <numFmt numFmtId="194" formatCode="[$€-2]\ #,##0.00_);[Red]\([$€-2]\ #,##0.00\)"/>
    <numFmt numFmtId="195" formatCode="0.0%"/>
    <numFmt numFmtId="196" formatCode="0.000%"/>
    <numFmt numFmtId="197" formatCode="#,##0.0_ ;[Red]\-#,##0.0\ "/>
    <numFmt numFmtId="198" formatCode="#,##0.000_ ;[Red]\-#,##0.000\ "/>
    <numFmt numFmtId="199" formatCode="#,##0.0000_ ;[Red]\-#,##0.0000\ "/>
    <numFmt numFmtId="200" formatCode="#,##0.000"/>
    <numFmt numFmtId="201" formatCode="0.000_ ;[Red]\-0.000\ "/>
    <numFmt numFmtId="202" formatCode="0.0000_ ;[Red]\-0.0000\ "/>
    <numFmt numFmtId="203" formatCode="[$-409]dddd\,\ mmmm\ dd\,\ yyyy"/>
    <numFmt numFmtId="204" formatCode="#,##0.00;[Red]#,##0.00"/>
    <numFmt numFmtId="205" formatCode="0.0_)"/>
    <numFmt numFmtId="206" formatCode="0_)"/>
    <numFmt numFmtId="207" formatCode="#,##0_)"/>
    <numFmt numFmtId="208" formatCode="0.0%_)"/>
    <numFmt numFmtId="209" formatCode="#,##0.00000_ ;[Red]\-#,##0.00000\ "/>
    <numFmt numFmtId="210" formatCode="#,##0.000000_ ;[Red]\-#,##0.000000\ "/>
    <numFmt numFmtId="211" formatCode="#,##0.0000000_ ;[Red]\-#,##0.0000000\ "/>
    <numFmt numFmtId="212" formatCode="0.00_)"/>
    <numFmt numFmtId="213" formatCode="General_)"/>
    <numFmt numFmtId="214" formatCode="#,##0.0"/>
    <numFmt numFmtId="215" formatCode="0_ ;[Red]\-0\ "/>
    <numFmt numFmtId="216" formatCode="#,##0.00000000_ ;[Red]\-#,##0.00000000\ "/>
  </numFmts>
  <fonts count="64">
    <font>
      <sz val="10"/>
      <name val="Arial"/>
      <family val="0"/>
    </font>
    <font>
      <sz val="11"/>
      <color indexed="8"/>
      <name val="Calibri"/>
      <family val="2"/>
    </font>
    <font>
      <b/>
      <sz val="12"/>
      <color indexed="9"/>
      <name val="Arial"/>
      <family val="2"/>
    </font>
    <font>
      <b/>
      <sz val="10"/>
      <name val="Arial"/>
      <family val="2"/>
    </font>
    <font>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u val="single"/>
      <sz val="10"/>
      <color indexed="62"/>
      <name val="Arial"/>
      <family val="2"/>
    </font>
    <font>
      <i/>
      <sz val="8"/>
      <color indexed="14"/>
      <name val="Arial"/>
      <family val="2"/>
    </font>
    <font>
      <b/>
      <sz val="12"/>
      <name val="Arial"/>
      <family val="2"/>
    </font>
    <font>
      <b/>
      <sz val="11"/>
      <color indexed="18"/>
      <name val="Arial"/>
      <family val="2"/>
    </font>
    <font>
      <b/>
      <sz val="11"/>
      <name val="Arial"/>
      <family val="2"/>
    </font>
    <font>
      <b/>
      <u val="single"/>
      <sz val="10"/>
      <color indexed="12"/>
      <name val="Arial"/>
      <family val="2"/>
    </font>
    <font>
      <sz val="10"/>
      <color indexed="10"/>
      <name val="Arial"/>
      <family val="2"/>
    </font>
    <font>
      <b/>
      <i/>
      <sz val="8"/>
      <color indexed="62"/>
      <name val="Arial"/>
      <family val="2"/>
    </font>
    <font>
      <b/>
      <sz val="9"/>
      <name val="Tahoma"/>
      <family val="2"/>
    </font>
    <font>
      <b/>
      <sz val="10"/>
      <color indexed="13"/>
      <name val="Arial"/>
      <family val="2"/>
    </font>
    <font>
      <sz val="9"/>
      <name val="Tahoma"/>
      <family val="2"/>
    </font>
    <font>
      <sz val="9"/>
      <color indexed="12"/>
      <name val="Tahoma"/>
      <family val="2"/>
    </font>
    <font>
      <b/>
      <sz val="10"/>
      <color indexed="10"/>
      <name val="Arial"/>
      <family val="2"/>
    </font>
    <font>
      <b/>
      <i/>
      <sz val="10"/>
      <name val="Arial"/>
      <family val="2"/>
    </font>
    <font>
      <b/>
      <i/>
      <sz val="10"/>
      <color indexed="62"/>
      <name val="Arial"/>
      <family val="2"/>
    </font>
    <font>
      <sz val="10"/>
      <color indexed="18"/>
      <name val="Arial"/>
      <family val="2"/>
    </font>
    <font>
      <b/>
      <i/>
      <u val="single"/>
      <sz val="10"/>
      <color indexed="62"/>
      <name val="Arial"/>
      <family val="2"/>
    </font>
    <font>
      <i/>
      <sz val="10"/>
      <name val="Arial"/>
      <family val="2"/>
    </font>
    <font>
      <b/>
      <sz val="10"/>
      <name val="Times New Roman"/>
      <family val="1"/>
    </font>
    <font>
      <b/>
      <sz val="9"/>
      <name val="Times New Roman"/>
      <family val="1"/>
    </font>
    <font>
      <b/>
      <vertAlign val="subscript"/>
      <sz val="9"/>
      <name val="Times New Roman"/>
      <family val="1"/>
    </font>
    <font>
      <sz val="9"/>
      <name val="Times New Roman"/>
      <family val="1"/>
    </font>
    <font>
      <u val="single"/>
      <sz val="10"/>
      <color indexed="36"/>
      <name val="Arial"/>
      <family val="2"/>
    </font>
    <font>
      <b/>
      <sz val="10"/>
      <color indexed="18"/>
      <name val="Arial"/>
      <family val="2"/>
    </font>
    <font>
      <sz val="14"/>
      <color indexed="18"/>
      <name val="Arial"/>
      <family val="2"/>
    </font>
    <font>
      <sz val="10"/>
      <color indexed="62"/>
      <name val="Arial"/>
      <family val="2"/>
    </font>
    <font>
      <u val="single"/>
      <sz val="10"/>
      <color indexed="62"/>
      <name val="Arial"/>
      <family val="2"/>
    </font>
    <font>
      <i/>
      <u val="single"/>
      <sz val="8"/>
      <color indexed="12"/>
      <name val="Arial"/>
      <family val="2"/>
    </font>
    <font>
      <i/>
      <u val="single"/>
      <sz val="8"/>
      <color indexed="62"/>
      <name val="Arial"/>
      <family val="2"/>
    </font>
    <font>
      <sz val="8"/>
      <color indexed="62"/>
      <name val="Arial"/>
      <family val="2"/>
    </font>
    <font>
      <b/>
      <i/>
      <u val="single"/>
      <sz val="8"/>
      <color indexed="10"/>
      <name val="Arial"/>
      <family val="2"/>
    </font>
    <font>
      <b/>
      <sz val="20"/>
      <color indexed="62"/>
      <name val="Arial"/>
      <family val="2"/>
    </font>
    <font>
      <b/>
      <sz val="12"/>
      <color indexed="18"/>
      <name val="Arial"/>
      <family val="2"/>
    </font>
    <font>
      <sz val="8"/>
      <name val="Tahoma"/>
      <family val="2"/>
    </font>
    <font>
      <sz val="10"/>
      <color rgb="FFFF0000"/>
      <name val="Arial"/>
      <family val="2"/>
    </font>
    <font>
      <b/>
      <sz val="10"/>
      <color rgb="FFFF0000"/>
      <name val="Arial"/>
      <family val="2"/>
    </font>
    <font>
      <u val="single"/>
      <sz val="10"/>
      <color rgb="FF0000FF"/>
      <name val="Arial"/>
      <family val="2"/>
    </font>
    <font>
      <b/>
      <u val="single"/>
      <sz val="10"/>
      <color rgb="FF0000FF"/>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5"/>
        <bgColor indexed="64"/>
      </patternFill>
    </fill>
    <fill>
      <patternFill patternType="solid">
        <fgColor indexed="13"/>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lightUp">
        <bgColor indexed="9"/>
      </patternFill>
    </fill>
    <fill>
      <patternFill patternType="solid">
        <fgColor rgb="FFFFFFCC"/>
        <bgColor indexed="64"/>
      </patternFill>
    </fill>
  </fills>
  <borders count="1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hair"/>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medium">
        <color indexed="8"/>
      </bottom>
    </border>
    <border>
      <left>
        <color indexed="63"/>
      </left>
      <right style="thick"/>
      <top>
        <color indexed="63"/>
      </top>
      <bottom style="medium">
        <color indexed="8"/>
      </bottom>
    </border>
    <border>
      <left style="thick"/>
      <right>
        <color indexed="63"/>
      </right>
      <top style="medium">
        <color indexed="8"/>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style="thick"/>
      <bottom style="medium">
        <color indexed="8"/>
      </bottom>
    </border>
    <border>
      <left style="medium"/>
      <right style="medium"/>
      <top style="thick"/>
      <bottom style="medium">
        <color indexed="8"/>
      </bottom>
    </border>
    <border>
      <left>
        <color indexed="63"/>
      </left>
      <right style="medium"/>
      <top style="thick"/>
      <bottom style="medium">
        <color indexed="8"/>
      </bottom>
    </border>
    <border>
      <left style="medium"/>
      <right>
        <color indexed="63"/>
      </right>
      <top style="medium">
        <color indexed="8"/>
      </top>
      <bottom style="medium">
        <color indexed="8"/>
      </bottom>
    </border>
    <border>
      <left style="medium"/>
      <right style="medium"/>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medium">
        <color indexed="8"/>
      </bottom>
    </border>
    <border>
      <left style="medium"/>
      <right>
        <color indexed="63"/>
      </right>
      <top style="medium"/>
      <bottom style="medium">
        <color indexed="8"/>
      </bottom>
    </border>
    <border>
      <left style="medium"/>
      <right>
        <color indexed="63"/>
      </right>
      <top style="medium">
        <color indexed="8"/>
      </top>
      <bottom style="medium"/>
    </border>
    <border>
      <left style="medium"/>
      <right style="medium"/>
      <top>
        <color indexed="63"/>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hair"/>
      <right style="hair"/>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medium"/>
      <right style="medium"/>
      <top style="medium"/>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medium"/>
      <bottom style="medium"/>
    </border>
    <border>
      <left style="thin"/>
      <right style="hair"/>
      <top style="hair"/>
      <bottom style="thin"/>
    </border>
    <border>
      <left style="thin"/>
      <right>
        <color indexed="63"/>
      </right>
      <top>
        <color indexed="63"/>
      </top>
      <bottom>
        <color indexed="63"/>
      </bottom>
    </border>
    <border>
      <left style="medium"/>
      <right style="hair"/>
      <top style="medium"/>
      <bottom style="hair"/>
    </border>
    <border>
      <left style="hair"/>
      <right style="hair"/>
      <top style="medium"/>
      <bottom style="hair"/>
    </border>
    <border>
      <left style="thin"/>
      <right>
        <color indexed="63"/>
      </right>
      <top>
        <color indexed="63"/>
      </top>
      <bottom style="thin"/>
    </border>
    <border>
      <left>
        <color indexed="63"/>
      </left>
      <right>
        <color indexed="63"/>
      </right>
      <top style="hair"/>
      <bottom style="medium"/>
    </border>
    <border>
      <left>
        <color indexed="63"/>
      </left>
      <right>
        <color indexed="63"/>
      </right>
      <top>
        <color indexed="63"/>
      </top>
      <bottom style="hair"/>
    </border>
    <border>
      <left style="thin"/>
      <right style="thin"/>
      <top style="thin"/>
      <bottom/>
    </border>
    <border>
      <left>
        <color indexed="63"/>
      </left>
      <right>
        <color indexed="63"/>
      </right>
      <top>
        <color indexed="63"/>
      </top>
      <bottom style="medium">
        <color indexed="12"/>
      </bottom>
    </border>
    <border>
      <left style="thin"/>
      <right style="thin"/>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style="medium"/>
      <right style="thin"/>
      <top>
        <color indexed="63"/>
      </top>
      <bottom style="hair"/>
    </border>
    <border>
      <left style="medium"/>
      <right style="thin"/>
      <top style="hair"/>
      <bottom style="hair"/>
    </border>
    <border>
      <left style="medium"/>
      <right style="thin"/>
      <top style="hair"/>
      <bottom style="thin"/>
    </border>
    <border>
      <left style="medium"/>
      <right style="thin"/>
      <top style="hair"/>
      <bottom>
        <color indexed="63"/>
      </bottom>
    </border>
    <border>
      <left style="hair"/>
      <right>
        <color indexed="63"/>
      </right>
      <top style="thin"/>
      <bottom style="hair"/>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color indexed="63"/>
      </left>
      <right style="hair"/>
      <top style="medium"/>
      <bottom style="hair"/>
    </border>
    <border>
      <left style="hair"/>
      <right>
        <color indexed="63"/>
      </right>
      <top style="medium"/>
      <bottom style="hair"/>
    </border>
    <border>
      <left style="medium"/>
      <right>
        <color indexed="63"/>
      </right>
      <top style="hair"/>
      <bottom style="hair"/>
    </border>
    <border>
      <left>
        <color indexed="63"/>
      </left>
      <right style="hair"/>
      <top style="hair"/>
      <bottom style="hair"/>
    </border>
    <border>
      <left>
        <color indexed="63"/>
      </left>
      <right style="thin"/>
      <top style="thin"/>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color indexed="63"/>
      </left>
      <right style="medium"/>
      <top>
        <color indexed="63"/>
      </top>
      <bottom style="hair"/>
    </border>
    <border>
      <left>
        <color indexed="63"/>
      </left>
      <right style="medium"/>
      <top style="hair"/>
      <bottom style="thin"/>
    </border>
    <border>
      <left style="thick"/>
      <right style="thick"/>
      <top style="medium">
        <color indexed="8"/>
      </top>
      <bottom>
        <color indexed="63"/>
      </bottom>
    </border>
    <border>
      <left style="thick"/>
      <right style="thick"/>
      <top>
        <color indexed="63"/>
      </top>
      <bottom style="thick"/>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0" fillId="20" borderId="1" applyNumberFormat="0" applyAlignment="0" applyProtection="0"/>
    <xf numFmtId="0" fontId="9" fillId="3" borderId="0" applyNumberFormat="0" applyBorder="0" applyAlignment="0" applyProtection="0"/>
    <xf numFmtId="0" fontId="10" fillId="20" borderId="2" applyNumberFormat="0" applyAlignment="0" applyProtection="0"/>
    <xf numFmtId="0" fontId="47" fillId="0" borderId="0" applyNumberFormat="0" applyFill="0" applyBorder="0" applyAlignment="0" applyProtection="0"/>
    <xf numFmtId="0" fontId="10" fillId="20" borderId="2" applyNumberFormat="0" applyAlignment="0" applyProtection="0"/>
    <xf numFmtId="0" fontId="11" fillId="21" borderId="3" applyNumberFormat="0" applyAlignment="0" applyProtection="0"/>
    <xf numFmtId="169" fontId="0" fillId="0" borderId="0" applyFont="0" applyFill="0" applyBorder="0" applyAlignment="0" applyProtection="0"/>
    <xf numFmtId="0" fontId="17" fillId="7" borderId="2" applyNumberFormat="0" applyAlignment="0" applyProtection="0"/>
    <xf numFmtId="0" fontId="2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2" applyNumberFormat="0" applyAlignment="0" applyProtection="0"/>
    <xf numFmtId="171" fontId="0" fillId="0" borderId="0" applyFont="0" applyFill="0" applyBorder="0" applyAlignment="0" applyProtection="0"/>
    <xf numFmtId="0" fontId="18" fillId="0" borderId="8" applyNumberFormat="0" applyFill="0" applyAlignment="0" applyProtection="0"/>
    <xf numFmtId="0" fontId="19" fillId="22" borderId="0" applyNumberFormat="0" applyBorder="0" applyAlignment="0" applyProtection="0"/>
    <xf numFmtId="0" fontId="0" fillId="23" borderId="9" applyNumberFormat="0" applyFont="0" applyAlignment="0" applyProtection="0"/>
    <xf numFmtId="0" fontId="1" fillId="23" borderId="9" applyNumberFormat="0" applyFont="0" applyAlignment="0" applyProtection="0"/>
    <xf numFmtId="0" fontId="20" fillId="20" borderId="1" applyNumberFormat="0" applyAlignment="0" applyProtection="0"/>
    <xf numFmtId="9" fontId="0" fillId="0" borderId="0" applyFont="0" applyFill="0" applyBorder="0" applyAlignment="0" applyProtection="0"/>
    <xf numFmtId="0" fontId="9" fillId="3" borderId="0" applyNumberFormat="0" applyBorder="0" applyAlignment="0" applyProtection="0"/>
    <xf numFmtId="0" fontId="1" fillId="0" borderId="0">
      <alignment/>
      <protection/>
    </xf>
    <xf numFmtId="0" fontId="21" fillId="0" borderId="0" applyNumberFormat="0" applyFill="0" applyBorder="0" applyAlignment="0" applyProtection="0"/>
    <xf numFmtId="0" fontId="22" fillId="0" borderId="4" applyNumberFormat="0" applyFill="0" applyAlignment="0" applyProtection="0"/>
    <xf numFmtId="0" fontId="21"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21" borderId="3" applyNumberFormat="0" applyAlignment="0" applyProtection="0"/>
  </cellStyleXfs>
  <cellXfs count="990">
    <xf numFmtId="0" fontId="0" fillId="0" borderId="0" xfId="0" applyAlignment="1">
      <alignment/>
    </xf>
    <xf numFmtId="0" fontId="5" fillId="24" borderId="0" xfId="62" applyFill="1" applyBorder="1" applyAlignment="1" applyProtection="1">
      <alignment vertical="top"/>
      <protection/>
    </xf>
    <xf numFmtId="0" fontId="3" fillId="24" borderId="0" xfId="62"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25" borderId="0" xfId="0" applyNumberFormat="1" applyFont="1" applyFill="1" applyBorder="1" applyAlignment="1" applyProtection="1">
      <alignment vertical="top"/>
      <protection/>
    </xf>
    <xf numFmtId="0" fontId="0" fillId="24" borderId="0" xfId="0" applyFill="1" applyAlignment="1" applyProtection="1">
      <alignment/>
      <protection/>
    </xf>
    <xf numFmtId="0" fontId="4"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center"/>
      <protection/>
    </xf>
    <xf numFmtId="0" fontId="0" fillId="24" borderId="0" xfId="0" applyFont="1" applyFill="1" applyAlignment="1" applyProtection="1">
      <alignment/>
      <protection/>
    </xf>
    <xf numFmtId="0" fontId="0" fillId="25" borderId="0" xfId="0" applyFont="1" applyFill="1" applyAlignment="1" applyProtection="1">
      <alignment/>
      <protection/>
    </xf>
    <xf numFmtId="0" fontId="6" fillId="24" borderId="0" xfId="0" applyFont="1" applyFill="1" applyAlignment="1" applyProtection="1">
      <alignment vertical="top"/>
      <protection/>
    </xf>
    <xf numFmtId="0" fontId="2" fillId="26" borderId="0" xfId="0" applyFont="1" applyFill="1" applyBorder="1" applyAlignment="1" applyProtection="1">
      <alignment horizontal="left"/>
      <protection/>
    </xf>
    <xf numFmtId="0" fontId="2" fillId="26" borderId="0" xfId="0" applyFont="1" applyFill="1" applyBorder="1" applyAlignment="1" applyProtection="1">
      <alignment/>
      <protection/>
    </xf>
    <xf numFmtId="0" fontId="3" fillId="24" borderId="0" xfId="0" applyFont="1" applyFill="1" applyAlignment="1" applyProtection="1">
      <alignment horizontal="center" vertical="top"/>
      <protection/>
    </xf>
    <xf numFmtId="0" fontId="3" fillId="24" borderId="0" xfId="0" applyFont="1" applyFill="1" applyAlignment="1" applyProtection="1">
      <alignment horizontal="left" vertical="top"/>
      <protection/>
    </xf>
    <xf numFmtId="0" fontId="0" fillId="24" borderId="0" xfId="0" applyFont="1" applyFill="1" applyAlignment="1" applyProtection="1">
      <alignment vertical="top"/>
      <protection/>
    </xf>
    <xf numFmtId="0" fontId="7" fillId="24" borderId="0" xfId="0" applyFont="1" applyFill="1" applyAlignment="1" applyProtection="1">
      <alignment horizontal="left" vertical="top"/>
      <protection/>
    </xf>
    <xf numFmtId="0" fontId="28" fillId="24" borderId="0" xfId="0" applyFont="1" applyFill="1" applyAlignment="1" applyProtection="1">
      <alignment horizontal="center"/>
      <protection/>
    </xf>
    <xf numFmtId="0" fontId="28" fillId="24" borderId="0" xfId="0" applyFont="1" applyFill="1" applyAlignment="1" applyProtection="1">
      <alignment/>
      <protection/>
    </xf>
    <xf numFmtId="0" fontId="0" fillId="24" borderId="0" xfId="0" applyNumberFormat="1" applyFont="1" applyFill="1" applyBorder="1" applyAlignment="1" applyProtection="1">
      <alignment vertical="top"/>
      <protection/>
    </xf>
    <xf numFmtId="0" fontId="0" fillId="24" borderId="0" xfId="0" applyFill="1" applyAlignment="1" applyProtection="1">
      <alignment horizontal="left" vertical="top"/>
      <protection/>
    </xf>
    <xf numFmtId="0" fontId="0" fillId="24"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3" fillId="24" borderId="10" xfId="0" applyFont="1" applyFill="1" applyBorder="1" applyAlignment="1" applyProtection="1">
      <alignment horizontal="left" vertical="top"/>
      <protection/>
    </xf>
    <xf numFmtId="0" fontId="0" fillId="24" borderId="0" xfId="0" applyFont="1" applyFill="1" applyBorder="1" applyAlignment="1" applyProtection="1">
      <alignment/>
      <protection/>
    </xf>
    <xf numFmtId="0" fontId="3" fillId="24" borderId="0" xfId="0" applyFont="1" applyFill="1" applyBorder="1" applyAlignment="1" applyProtection="1">
      <alignment horizontal="left" vertical="top"/>
      <protection/>
    </xf>
    <xf numFmtId="0" fontId="0" fillId="24" borderId="12" xfId="0" applyNumberFormat="1" applyFont="1" applyFill="1" applyBorder="1" applyAlignment="1" applyProtection="1">
      <alignment vertical="top"/>
      <protection/>
    </xf>
    <xf numFmtId="0" fontId="0" fillId="24" borderId="10" xfId="0" applyNumberFormat="1" applyFont="1" applyFill="1" applyBorder="1" applyAlignment="1" applyProtection="1">
      <alignment horizontal="center" vertical="top"/>
      <protection/>
    </xf>
    <xf numFmtId="0" fontId="3" fillId="24"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0" fillId="4" borderId="11" xfId="0" applyNumberFormat="1" applyFont="1" applyFill="1" applyBorder="1" applyAlignment="1" applyProtection="1">
      <alignment vertical="top"/>
      <protection/>
    </xf>
    <xf numFmtId="0" fontId="0" fillId="24" borderId="0" xfId="0" applyNumberFormat="1" applyFont="1" applyFill="1" applyBorder="1" applyAlignment="1" applyProtection="1">
      <alignment horizontal="center" vertical="top"/>
      <protection/>
    </xf>
    <xf numFmtId="180" fontId="0" fillId="24" borderId="13" xfId="0" applyNumberFormat="1" applyFont="1" applyFill="1" applyBorder="1" applyAlignment="1" applyProtection="1">
      <alignment horizontal="right" vertical="top" indent="1"/>
      <protection/>
    </xf>
    <xf numFmtId="180" fontId="0" fillId="24" borderId="14" xfId="0" applyNumberFormat="1" applyFont="1" applyFill="1" applyBorder="1" applyAlignment="1" applyProtection="1">
      <alignment horizontal="right" vertical="top" indent="1"/>
      <protection/>
    </xf>
    <xf numFmtId="180" fontId="0" fillId="24" borderId="15" xfId="0" applyNumberFormat="1" applyFont="1" applyFill="1" applyBorder="1" applyAlignment="1" applyProtection="1">
      <alignment horizontal="right" vertical="top" indent="1"/>
      <protection/>
    </xf>
    <xf numFmtId="0" fontId="0" fillId="25" borderId="0" xfId="0" applyNumberFormat="1" applyFont="1" applyFill="1" applyBorder="1" applyAlignment="1" applyProtection="1">
      <alignment horizontal="center" vertical="top"/>
      <protection/>
    </xf>
    <xf numFmtId="0" fontId="0" fillId="25" borderId="0"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180" fontId="0" fillId="24" borderId="18" xfId="0" applyNumberFormat="1" applyFont="1" applyFill="1" applyBorder="1" applyAlignment="1" applyProtection="1">
      <alignment horizontal="right" vertical="top" indent="1"/>
      <protection/>
    </xf>
    <xf numFmtId="0" fontId="0" fillId="24" borderId="0" xfId="0" applyFill="1" applyAlignment="1" applyProtection="1">
      <alignment horizontal="center"/>
      <protection/>
    </xf>
    <xf numFmtId="0" fontId="0" fillId="0" borderId="0" xfId="0" applyNumberFormat="1" applyFont="1" applyFill="1" applyBorder="1" applyAlignment="1" applyProtection="1">
      <alignment horizontal="center" vertical="top"/>
      <protection/>
    </xf>
    <xf numFmtId="0" fontId="0" fillId="10" borderId="0"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20" xfId="0" applyNumberFormat="1" applyFont="1" applyFill="1" applyBorder="1" applyAlignment="1" applyProtection="1">
      <alignment horizontal="center" vertical="top"/>
      <protection/>
    </xf>
    <xf numFmtId="0" fontId="0" fillId="10" borderId="20" xfId="0" applyNumberFormat="1" applyFont="1" applyFill="1" applyBorder="1" applyAlignment="1" applyProtection="1">
      <alignment vertical="top"/>
      <protection/>
    </xf>
    <xf numFmtId="0" fontId="0" fillId="0" borderId="20"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22" xfId="0" applyNumberFormat="1" applyFont="1" applyFill="1" applyBorder="1" applyAlignment="1" applyProtection="1">
      <alignment vertical="top"/>
      <protection/>
    </xf>
    <xf numFmtId="0" fontId="0" fillId="0" borderId="23"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180" fontId="0" fillId="0" borderId="25" xfId="0" applyNumberFormat="1" applyFont="1" applyFill="1" applyBorder="1" applyAlignment="1" applyProtection="1">
      <alignment vertical="top"/>
      <protection/>
    </xf>
    <xf numFmtId="180" fontId="0" fillId="0" borderId="26" xfId="0" applyNumberFormat="1" applyFont="1" applyFill="1" applyBorder="1" applyAlignment="1" applyProtection="1">
      <alignment vertical="top"/>
      <protection/>
    </xf>
    <xf numFmtId="0" fontId="0" fillId="0" borderId="27" xfId="0" applyNumberFormat="1" applyFont="1" applyFill="1" applyBorder="1" applyAlignment="1" applyProtection="1">
      <alignment horizontal="center" vertical="top"/>
      <protection/>
    </xf>
    <xf numFmtId="0" fontId="0" fillId="0" borderId="28" xfId="0" applyNumberFormat="1" applyFont="1" applyFill="1" applyBorder="1" applyAlignment="1" applyProtection="1">
      <alignment horizontal="center" vertical="top"/>
      <protection/>
    </xf>
    <xf numFmtId="0" fontId="0" fillId="0" borderId="29" xfId="0" applyNumberFormat="1" applyFont="1" applyFill="1" applyBorder="1" applyAlignment="1" applyProtection="1">
      <alignment horizontal="center" vertical="top"/>
      <protection/>
    </xf>
    <xf numFmtId="0" fontId="0" fillId="0" borderId="27" xfId="0" applyNumberFormat="1" applyFont="1" applyFill="1" applyBorder="1" applyAlignment="1" applyProtection="1">
      <alignment vertical="top"/>
      <protection/>
    </xf>
    <xf numFmtId="0" fontId="0" fillId="0" borderId="28" xfId="0" applyNumberFormat="1" applyFont="1" applyFill="1" applyBorder="1" applyAlignment="1" applyProtection="1">
      <alignment vertical="top"/>
      <protection/>
    </xf>
    <xf numFmtId="0" fontId="0" fillId="0" borderId="29" xfId="0" applyNumberFormat="1" applyFont="1" applyFill="1" applyBorder="1" applyAlignment="1" applyProtection="1">
      <alignment vertical="top"/>
      <protection/>
    </xf>
    <xf numFmtId="0" fontId="0" fillId="0" borderId="30" xfId="0" applyNumberFormat="1" applyFont="1" applyFill="1" applyBorder="1" applyAlignment="1" applyProtection="1">
      <alignment vertical="top"/>
      <protection/>
    </xf>
    <xf numFmtId="0" fontId="0" fillId="0" borderId="31" xfId="0" applyNumberFormat="1" applyFont="1" applyFill="1" applyBorder="1" applyAlignment="1" applyProtection="1">
      <alignment vertical="top"/>
      <protection/>
    </xf>
    <xf numFmtId="0" fontId="0" fillId="0" borderId="32" xfId="0" applyNumberFormat="1" applyFont="1" applyFill="1" applyBorder="1" applyAlignment="1" applyProtection="1">
      <alignment vertical="top"/>
      <protection/>
    </xf>
    <xf numFmtId="0" fontId="0" fillId="0" borderId="30" xfId="0" applyNumberFormat="1" applyFont="1" applyFill="1" applyBorder="1" applyAlignment="1" applyProtection="1">
      <alignment horizontal="center" vertical="top"/>
      <protection/>
    </xf>
    <xf numFmtId="0" fontId="38" fillId="10" borderId="32" xfId="0" applyNumberFormat="1" applyFont="1" applyFill="1" applyBorder="1" applyAlignment="1" applyProtection="1">
      <alignment vertical="top"/>
      <protection/>
    </xf>
    <xf numFmtId="0" fontId="0" fillId="0" borderId="33" xfId="0" applyNumberFormat="1" applyFont="1" applyFill="1" applyBorder="1" applyAlignment="1" applyProtection="1">
      <alignment vertical="top"/>
      <protection/>
    </xf>
    <xf numFmtId="0" fontId="0" fillId="4" borderId="34" xfId="0" applyNumberFormat="1" applyFont="1" applyFill="1" applyBorder="1" applyAlignment="1" applyProtection="1">
      <alignment horizontal="center" vertical="top"/>
      <protection/>
    </xf>
    <xf numFmtId="0" fontId="0" fillId="4" borderId="35" xfId="0" applyNumberFormat="1" applyFont="1" applyFill="1" applyBorder="1" applyAlignment="1" applyProtection="1">
      <alignment horizontal="center" vertical="top"/>
      <protection/>
    </xf>
    <xf numFmtId="0" fontId="0" fillId="4" borderId="36" xfId="0" applyNumberFormat="1" applyFont="1" applyFill="1" applyBorder="1" applyAlignment="1" applyProtection="1">
      <alignment horizontal="center" vertical="top"/>
      <protection/>
    </xf>
    <xf numFmtId="0" fontId="3" fillId="24" borderId="37" xfId="0" applyNumberFormat="1" applyFont="1" applyFill="1" applyBorder="1" applyAlignment="1" applyProtection="1">
      <alignment horizontal="center" wrapText="1"/>
      <protection/>
    </xf>
    <xf numFmtId="0" fontId="7" fillId="24" borderId="0" xfId="0" applyFont="1" applyFill="1" applyAlignment="1" applyProtection="1" quotePrefix="1">
      <alignment horizontal="right" vertical="top"/>
      <protection/>
    </xf>
    <xf numFmtId="0" fontId="28" fillId="24" borderId="10" xfId="0" applyFont="1" applyFill="1" applyBorder="1" applyAlignment="1" applyProtection="1">
      <alignment horizontal="center"/>
      <protection/>
    </xf>
    <xf numFmtId="0" fontId="0" fillId="24" borderId="21" xfId="0" applyFont="1" applyFill="1" applyBorder="1" applyAlignment="1" applyProtection="1">
      <alignment/>
      <protection/>
    </xf>
    <xf numFmtId="0" fontId="0" fillId="24" borderId="20" xfId="0" applyFont="1" applyFill="1" applyBorder="1" applyAlignment="1" applyProtection="1">
      <alignment/>
      <protection/>
    </xf>
    <xf numFmtId="0" fontId="0" fillId="24" borderId="20" xfId="0" applyFill="1" applyBorder="1" applyAlignment="1" applyProtection="1">
      <alignment/>
      <protection/>
    </xf>
    <xf numFmtId="0" fontId="0" fillId="24" borderId="38" xfId="0" applyFill="1" applyBorder="1" applyAlignment="1" applyProtection="1">
      <alignment/>
      <protection/>
    </xf>
    <xf numFmtId="0" fontId="0" fillId="24" borderId="19" xfId="0" applyFont="1" applyFill="1" applyBorder="1" applyAlignment="1" applyProtection="1">
      <alignment/>
      <protection/>
    </xf>
    <xf numFmtId="0" fontId="0" fillId="24" borderId="39" xfId="0" applyFill="1" applyBorder="1" applyAlignment="1" applyProtection="1">
      <alignment/>
      <protection/>
    </xf>
    <xf numFmtId="0" fontId="0" fillId="24" borderId="19" xfId="0" applyNumberFormat="1" applyFont="1" applyFill="1" applyBorder="1" applyAlignment="1" applyProtection="1">
      <alignment vertical="top"/>
      <protection/>
    </xf>
    <xf numFmtId="0" fontId="0" fillId="24" borderId="39" xfId="0" applyNumberFormat="1" applyFont="1" applyFill="1" applyBorder="1" applyAlignment="1" applyProtection="1">
      <alignment vertical="top"/>
      <protection/>
    </xf>
    <xf numFmtId="0" fontId="0" fillId="24" borderId="17" xfId="0" applyFont="1" applyFill="1" applyBorder="1" applyAlignment="1" applyProtection="1">
      <alignment/>
      <protection/>
    </xf>
    <xf numFmtId="0" fontId="0" fillId="24" borderId="16" xfId="0" applyFont="1" applyFill="1" applyBorder="1" applyAlignment="1" applyProtection="1">
      <alignment/>
      <protection/>
    </xf>
    <xf numFmtId="0" fontId="0" fillId="24" borderId="16" xfId="0" applyFill="1" applyBorder="1" applyAlignment="1" applyProtection="1">
      <alignment/>
      <protection/>
    </xf>
    <xf numFmtId="0" fontId="0" fillId="24" borderId="40" xfId="0" applyFill="1" applyBorder="1" applyAlignment="1" applyProtection="1">
      <alignment/>
      <protection/>
    </xf>
    <xf numFmtId="0" fontId="3" fillId="0" borderId="40" xfId="0" applyNumberFormat="1" applyFont="1" applyFill="1" applyBorder="1" applyAlignment="1" applyProtection="1">
      <alignment vertical="top"/>
      <protection/>
    </xf>
    <xf numFmtId="0" fontId="0" fillId="0" borderId="0" xfId="0" applyAlignment="1" applyProtection="1">
      <alignment/>
      <protection/>
    </xf>
    <xf numFmtId="0" fontId="0" fillId="24" borderId="0" xfId="0" applyFill="1" applyAlignment="1" applyProtection="1">
      <alignment/>
      <protection/>
    </xf>
    <xf numFmtId="0" fontId="3" fillId="0" borderId="0" xfId="0" applyFont="1" applyAlignment="1" applyProtection="1">
      <alignment/>
      <protection/>
    </xf>
    <xf numFmtId="0" fontId="0" fillId="0" borderId="0" xfId="0" applyAlignment="1" applyProtection="1">
      <alignment horizontal="center"/>
      <protection/>
    </xf>
    <xf numFmtId="0" fontId="0" fillId="24" borderId="0" xfId="0" applyFill="1" applyBorder="1" applyAlignment="1" applyProtection="1">
      <alignment/>
      <protection/>
    </xf>
    <xf numFmtId="0" fontId="0" fillId="0" borderId="0" xfId="0" applyFill="1" applyAlignment="1" applyProtection="1">
      <alignment/>
      <protection/>
    </xf>
    <xf numFmtId="0" fontId="40" fillId="24" borderId="0" xfId="0" applyFont="1" applyFill="1" applyAlignment="1" applyProtection="1">
      <alignment horizontal="left"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protection/>
    </xf>
    <xf numFmtId="0" fontId="0" fillId="0" borderId="0" xfId="0" applyAlignment="1" applyProtection="1">
      <alignment/>
      <protection/>
    </xf>
    <xf numFmtId="0" fontId="0" fillId="20" borderId="0" xfId="0" applyFill="1" applyAlignment="1" applyProtection="1">
      <alignment/>
      <protection/>
    </xf>
    <xf numFmtId="0" fontId="0" fillId="24" borderId="0" xfId="0" applyFill="1" applyAlignment="1" applyProtection="1">
      <alignment vertical="top"/>
      <protection/>
    </xf>
    <xf numFmtId="0" fontId="0" fillId="24" borderId="0" xfId="0" applyFill="1" applyBorder="1" applyAlignment="1" applyProtection="1">
      <alignment vertical="top"/>
      <protection/>
    </xf>
    <xf numFmtId="180" fontId="0" fillId="24" borderId="0" xfId="0" applyNumberFormat="1" applyFill="1" applyBorder="1" applyAlignment="1" applyProtection="1">
      <alignment vertical="top"/>
      <protection/>
    </xf>
    <xf numFmtId="0" fontId="0" fillId="24" borderId="0" xfId="0" applyNumberFormat="1" applyFill="1" applyBorder="1" applyAlignment="1" applyProtection="1">
      <alignment vertical="top"/>
      <protection/>
    </xf>
    <xf numFmtId="0" fontId="0" fillId="0" borderId="0" xfId="0" applyAlignment="1" applyProtection="1">
      <alignment wrapText="1"/>
      <protection/>
    </xf>
    <xf numFmtId="0" fontId="3" fillId="24" borderId="0" xfId="0" applyFont="1" applyFill="1" applyAlignment="1" applyProtection="1">
      <alignment horizontal="center" vertical="top"/>
      <protection/>
    </xf>
    <xf numFmtId="0" fontId="3" fillId="24" borderId="0" xfId="0" applyFont="1" applyFill="1" applyAlignment="1" applyProtection="1">
      <alignment vertical="top"/>
      <protection/>
    </xf>
    <xf numFmtId="0" fontId="0" fillId="24" borderId="0" xfId="0" applyNumberFormat="1" applyFont="1" applyFill="1" applyBorder="1" applyAlignment="1" applyProtection="1">
      <alignment horizontal="left" vertical="top"/>
      <protection/>
    </xf>
    <xf numFmtId="0" fontId="26" fillId="24" borderId="0" xfId="0" applyFont="1" applyFill="1" applyAlignment="1" applyProtection="1">
      <alignment vertical="top"/>
      <protection/>
    </xf>
    <xf numFmtId="0" fontId="3" fillId="24" borderId="41" xfId="0" applyFont="1" applyFill="1" applyBorder="1" applyAlignment="1" applyProtection="1">
      <alignment vertical="top"/>
      <protection/>
    </xf>
    <xf numFmtId="0" fontId="3" fillId="24" borderId="10" xfId="0" applyFont="1" applyFill="1" applyBorder="1" applyAlignment="1" applyProtection="1">
      <alignment vertical="top"/>
      <protection/>
    </xf>
    <xf numFmtId="0" fontId="0" fillId="24" borderId="10" xfId="0" applyFont="1" applyFill="1" applyBorder="1" applyAlignment="1" applyProtection="1">
      <alignment vertical="top"/>
      <protection/>
    </xf>
    <xf numFmtId="0" fontId="0" fillId="24" borderId="10" xfId="0" applyFont="1" applyFill="1" applyBorder="1" applyAlignment="1" applyProtection="1">
      <alignment/>
      <protection/>
    </xf>
    <xf numFmtId="0" fontId="0" fillId="24" borderId="10" xfId="0" applyNumberFormat="1" applyFont="1" applyFill="1" applyBorder="1" applyAlignment="1" applyProtection="1">
      <alignment horizontal="left" vertical="top"/>
      <protection/>
    </xf>
    <xf numFmtId="0" fontId="0" fillId="24" borderId="0" xfId="0" applyFont="1" applyFill="1" applyAlignment="1" applyProtection="1">
      <alignment horizontal="center" vertical="top"/>
      <protection/>
    </xf>
    <xf numFmtId="0" fontId="3" fillId="24" borderId="41" xfId="0" applyFont="1" applyFill="1" applyBorder="1" applyAlignment="1" applyProtection="1">
      <alignment horizontal="left" vertical="top"/>
      <protection/>
    </xf>
    <xf numFmtId="0" fontId="37" fillId="0" borderId="0" xfId="0" applyFont="1" applyAlignment="1" applyProtection="1">
      <alignment/>
      <protection/>
    </xf>
    <xf numFmtId="0" fontId="31" fillId="0" borderId="0" xfId="0" applyFont="1" applyAlignment="1" applyProtection="1">
      <alignment/>
      <protection/>
    </xf>
    <xf numFmtId="0" fontId="0" fillId="22" borderId="0" xfId="0" applyFill="1" applyAlignment="1" applyProtection="1">
      <alignment/>
      <protection/>
    </xf>
    <xf numFmtId="0" fontId="0" fillId="10" borderId="0" xfId="0" applyFill="1" applyAlignment="1" applyProtection="1">
      <alignment/>
      <protection/>
    </xf>
    <xf numFmtId="0" fontId="3" fillId="0" borderId="10" xfId="0" applyFont="1" applyBorder="1" applyAlignment="1" applyProtection="1">
      <alignment/>
      <protection/>
    </xf>
    <xf numFmtId="0" fontId="0" fillId="0" borderId="10" xfId="0" applyBorder="1" applyAlignment="1" applyProtection="1">
      <alignment/>
      <protection/>
    </xf>
    <xf numFmtId="0" fontId="0" fillId="25" borderId="0" xfId="0" applyFill="1" applyAlignment="1" applyProtection="1">
      <alignment/>
      <protection/>
    </xf>
    <xf numFmtId="0" fontId="0" fillId="25" borderId="0" xfId="0" applyFill="1" applyAlignment="1" applyProtection="1">
      <alignment horizontal="center"/>
      <protection/>
    </xf>
    <xf numFmtId="0" fontId="34" fillId="26" borderId="0" xfId="0" applyFont="1" applyFill="1" applyAlignment="1" applyProtection="1">
      <alignment/>
      <protection/>
    </xf>
    <xf numFmtId="0" fontId="0" fillId="25" borderId="0" xfId="0" applyFill="1" applyAlignment="1" applyProtection="1">
      <alignment/>
      <protection/>
    </xf>
    <xf numFmtId="0" fontId="35" fillId="25" borderId="0" xfId="0" applyFont="1" applyFill="1" applyAlignment="1" applyProtection="1">
      <alignment horizontal="left"/>
      <protection/>
    </xf>
    <xf numFmtId="0" fontId="35" fillId="0" borderId="0" xfId="0" applyFont="1" applyAlignment="1" applyProtection="1">
      <alignment horizontal="left"/>
      <protection/>
    </xf>
    <xf numFmtId="0" fontId="0" fillId="25" borderId="0" xfId="0" applyFill="1" applyAlignment="1" applyProtection="1">
      <alignment wrapText="1"/>
      <protection/>
    </xf>
    <xf numFmtId="0" fontId="24" fillId="25" borderId="0" xfId="0" applyFont="1" applyFill="1" applyAlignment="1" applyProtection="1">
      <alignment wrapText="1"/>
      <protection/>
    </xf>
    <xf numFmtId="183" fontId="0" fillId="25" borderId="0" xfId="0" applyNumberFormat="1" applyFill="1" applyAlignment="1" applyProtection="1">
      <alignment/>
      <protection/>
    </xf>
    <xf numFmtId="0" fontId="24" fillId="0" borderId="0" xfId="0" applyFont="1" applyAlignment="1" applyProtection="1">
      <alignment/>
      <protection/>
    </xf>
    <xf numFmtId="183" fontId="0" fillId="27" borderId="0" xfId="0" applyNumberFormat="1" applyFill="1" applyAlignment="1" applyProtection="1">
      <alignment/>
      <protection/>
    </xf>
    <xf numFmtId="0" fontId="31" fillId="10" borderId="0" xfId="0" applyFont="1" applyFill="1" applyAlignment="1" applyProtection="1">
      <alignment/>
      <protection/>
    </xf>
    <xf numFmtId="0" fontId="36" fillId="0" borderId="0" xfId="0" applyFont="1" applyFill="1" applyAlignment="1" applyProtection="1">
      <alignment horizontal="left"/>
      <protection/>
    </xf>
    <xf numFmtId="0" fontId="36" fillId="0" borderId="0" xfId="0" applyFont="1" applyFill="1" applyAlignment="1" applyProtection="1">
      <alignment horizontal="left" indent="1"/>
      <protection/>
    </xf>
    <xf numFmtId="0" fontId="24" fillId="25" borderId="0" xfId="0" applyFont="1" applyFill="1" applyAlignment="1" applyProtection="1">
      <alignment/>
      <protection/>
    </xf>
    <xf numFmtId="0" fontId="0" fillId="0" borderId="0" xfId="0" applyBorder="1" applyAlignment="1" applyProtection="1">
      <alignment/>
      <protection/>
    </xf>
    <xf numFmtId="0" fontId="0" fillId="25" borderId="0" xfId="0" applyFill="1" applyBorder="1" applyAlignment="1" applyProtection="1">
      <alignment/>
      <protection/>
    </xf>
    <xf numFmtId="0" fontId="0" fillId="0" borderId="0" xfId="0" applyBorder="1" applyAlignment="1" applyProtection="1">
      <alignment horizontal="center"/>
      <protection/>
    </xf>
    <xf numFmtId="0" fontId="31" fillId="0" borderId="0" xfId="0" applyFont="1" applyAlignment="1" applyProtection="1">
      <alignment/>
      <protection/>
    </xf>
    <xf numFmtId="0" fontId="43" fillId="0" borderId="42" xfId="0" applyFont="1" applyBorder="1" applyAlignment="1" applyProtection="1">
      <alignment horizontal="left" vertical="top"/>
      <protection/>
    </xf>
    <xf numFmtId="0" fontId="44" fillId="0" borderId="43" xfId="0" applyFont="1" applyBorder="1" applyAlignment="1" applyProtection="1">
      <alignment horizontal="center" vertical="top" wrapText="1"/>
      <protection/>
    </xf>
    <xf numFmtId="0" fontId="43" fillId="0" borderId="44" xfId="0" applyFont="1" applyBorder="1" applyAlignment="1" applyProtection="1">
      <alignment horizontal="left" vertical="top"/>
      <protection/>
    </xf>
    <xf numFmtId="0" fontId="44" fillId="0" borderId="45" xfId="0" applyFont="1" applyBorder="1" applyAlignment="1" applyProtection="1">
      <alignment horizontal="center" vertical="top" wrapText="1"/>
      <protection/>
    </xf>
    <xf numFmtId="0" fontId="3" fillId="0" borderId="46" xfId="0" applyFont="1" applyBorder="1" applyAlignment="1" applyProtection="1">
      <alignment horizontal="left" vertical="top"/>
      <protection/>
    </xf>
    <xf numFmtId="0" fontId="44" fillId="0" borderId="47" xfId="0" applyFont="1" applyBorder="1" applyAlignment="1" applyProtection="1">
      <alignment horizontal="center" vertical="top" wrapText="1"/>
      <protection/>
    </xf>
    <xf numFmtId="0" fontId="3" fillId="0" borderId="48" xfId="0" applyFont="1" applyBorder="1" applyAlignment="1" applyProtection="1">
      <alignment horizontal="left" vertical="top"/>
      <protection/>
    </xf>
    <xf numFmtId="0" fontId="44" fillId="0" borderId="49" xfId="0" applyFont="1" applyBorder="1" applyAlignment="1" applyProtection="1">
      <alignment horizontal="center" vertical="top" wrapText="1"/>
      <protection/>
    </xf>
    <xf numFmtId="0" fontId="46" fillId="20" borderId="50" xfId="0" applyFont="1" applyFill="1" applyBorder="1" applyAlignment="1" applyProtection="1">
      <alignment horizontal="left" vertical="top"/>
      <protection/>
    </xf>
    <xf numFmtId="0" fontId="46" fillId="20" borderId="51" xfId="0" applyFont="1" applyFill="1" applyBorder="1" applyAlignment="1" applyProtection="1">
      <alignment horizontal="center" vertical="top" wrapText="1"/>
      <protection/>
    </xf>
    <xf numFmtId="0" fontId="46" fillId="20" borderId="52" xfId="0" applyFont="1" applyFill="1" applyBorder="1" applyAlignment="1" applyProtection="1">
      <alignment horizontal="center" vertical="top" wrapText="1"/>
      <protection/>
    </xf>
    <xf numFmtId="0" fontId="46" fillId="20" borderId="53" xfId="0" applyFont="1" applyFill="1" applyBorder="1" applyAlignment="1" applyProtection="1">
      <alignment horizontal="left" vertical="top"/>
      <protection/>
    </xf>
    <xf numFmtId="0" fontId="46" fillId="20" borderId="54" xfId="0" applyFont="1" applyFill="1" applyBorder="1" applyAlignment="1" applyProtection="1">
      <alignment horizontal="center" vertical="top" wrapText="1"/>
      <protection/>
    </xf>
    <xf numFmtId="0" fontId="46" fillId="20" borderId="55" xfId="0" applyFont="1" applyFill="1" applyBorder="1" applyAlignment="1" applyProtection="1">
      <alignment horizontal="center" vertical="top" wrapText="1"/>
      <protection/>
    </xf>
    <xf numFmtId="0" fontId="46" fillId="20" borderId="56" xfId="0" applyFont="1" applyFill="1" applyBorder="1" applyAlignment="1" applyProtection="1">
      <alignment horizontal="left" vertical="top"/>
      <protection/>
    </xf>
    <xf numFmtId="0" fontId="46" fillId="20" borderId="57" xfId="0" applyFont="1" applyFill="1" applyBorder="1" applyAlignment="1" applyProtection="1">
      <alignment horizontal="left" vertical="top"/>
      <protection/>
    </xf>
    <xf numFmtId="0" fontId="46" fillId="20" borderId="58" xfId="0" applyFont="1" applyFill="1" applyBorder="1" applyAlignment="1" applyProtection="1">
      <alignment horizontal="left" vertical="top"/>
      <protection/>
    </xf>
    <xf numFmtId="0" fontId="46" fillId="20" borderId="59" xfId="0" applyFont="1" applyFill="1" applyBorder="1" applyAlignment="1" applyProtection="1">
      <alignment horizontal="center" vertical="top" wrapText="1"/>
      <protection/>
    </xf>
    <xf numFmtId="0" fontId="46" fillId="20" borderId="21" xfId="0" applyFont="1" applyFill="1" applyBorder="1" applyAlignment="1" applyProtection="1">
      <alignment horizontal="center" vertical="top" wrapText="1"/>
      <protection/>
    </xf>
    <xf numFmtId="0" fontId="46" fillId="20" borderId="39" xfId="0" applyFont="1" applyFill="1" applyBorder="1" applyAlignment="1" applyProtection="1">
      <alignment horizontal="left" vertical="top"/>
      <protection/>
    </xf>
    <xf numFmtId="0" fontId="22" fillId="0" borderId="10" xfId="72" applyFont="1" applyBorder="1" applyProtection="1">
      <alignment/>
      <protection/>
    </xf>
    <xf numFmtId="0" fontId="1" fillId="0" borderId="0" xfId="72"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60" xfId="0" applyBorder="1" applyAlignment="1" applyProtection="1">
      <alignment/>
      <protection/>
    </xf>
    <xf numFmtId="0" fontId="0" fillId="22" borderId="61" xfId="0" applyFill="1" applyBorder="1" applyAlignment="1" applyProtection="1">
      <alignment/>
      <protection/>
    </xf>
    <xf numFmtId="0" fontId="0" fillId="0" borderId="62" xfId="0" applyBorder="1" applyAlignment="1" applyProtection="1">
      <alignment/>
      <protection/>
    </xf>
    <xf numFmtId="14" fontId="0" fillId="18" borderId="63" xfId="0" applyNumberFormat="1" applyFill="1" applyBorder="1" applyAlignment="1" applyProtection="1">
      <alignment horizontal="left"/>
      <protection/>
    </xf>
    <xf numFmtId="0" fontId="0" fillId="4" borderId="64" xfId="0" applyFill="1" applyBorder="1" applyAlignment="1" applyProtection="1">
      <alignment/>
      <protection/>
    </xf>
    <xf numFmtId="0" fontId="0" fillId="4" borderId="65" xfId="0" applyFill="1" applyBorder="1" applyAlignment="1" applyProtection="1">
      <alignment/>
      <protection/>
    </xf>
    <xf numFmtId="0" fontId="0" fillId="4" borderId="66" xfId="0" applyFill="1" applyBorder="1" applyAlignment="1" applyProtection="1">
      <alignment/>
      <protection/>
    </xf>
    <xf numFmtId="0" fontId="0" fillId="0" borderId="67" xfId="0" applyBorder="1" applyAlignment="1" applyProtection="1">
      <alignment/>
      <protection/>
    </xf>
    <xf numFmtId="0" fontId="0" fillId="8" borderId="68" xfId="0" applyFill="1" applyBorder="1" applyAlignment="1" applyProtection="1">
      <alignment/>
      <protection/>
    </xf>
    <xf numFmtId="0" fontId="0" fillId="0" borderId="69" xfId="0" applyBorder="1" applyAlignment="1" applyProtection="1">
      <alignment/>
      <protection/>
    </xf>
    <xf numFmtId="0" fontId="0" fillId="20" borderId="70" xfId="0" applyFill="1" applyBorder="1" applyAlignment="1" applyProtection="1">
      <alignment/>
      <protection/>
    </xf>
    <xf numFmtId="0" fontId="3" fillId="0" borderId="0" xfId="0" applyFont="1" applyBorder="1" applyAlignment="1" applyProtection="1">
      <alignment/>
      <protection/>
    </xf>
    <xf numFmtId="0" fontId="0" fillId="22" borderId="0" xfId="0" applyFill="1" applyBorder="1" applyAlignment="1" applyProtection="1">
      <alignment/>
      <protection/>
    </xf>
    <xf numFmtId="14" fontId="0" fillId="18" borderId="71" xfId="0" applyNumberFormat="1" applyFill="1" applyBorder="1" applyAlignment="1" applyProtection="1">
      <alignment horizontal="center"/>
      <protection/>
    </xf>
    <xf numFmtId="0" fontId="0" fillId="4" borderId="13" xfId="0" applyFill="1" applyBorder="1" applyAlignment="1" applyProtection="1">
      <alignment/>
      <protection/>
    </xf>
    <xf numFmtId="14" fontId="0" fillId="18" borderId="72" xfId="0" applyNumberFormat="1" applyFill="1" applyBorder="1" applyAlignment="1" applyProtection="1">
      <alignment horizontal="center"/>
      <protection/>
    </xf>
    <xf numFmtId="0" fontId="0" fillId="4" borderId="73" xfId="0" applyFill="1" applyBorder="1" applyAlignment="1" applyProtection="1">
      <alignment/>
      <protection/>
    </xf>
    <xf numFmtId="0" fontId="0" fillId="4" borderId="74" xfId="0" applyFill="1" applyBorder="1" applyAlignment="1" applyProtection="1">
      <alignment/>
      <protection/>
    </xf>
    <xf numFmtId="0" fontId="0" fillId="4" borderId="14" xfId="0" applyFill="1" applyBorder="1" applyAlignment="1" applyProtection="1">
      <alignment/>
      <protection/>
    </xf>
    <xf numFmtId="0" fontId="0" fillId="4" borderId="75" xfId="0" applyFill="1" applyBorder="1" applyAlignment="1" applyProtection="1">
      <alignment/>
      <protection/>
    </xf>
    <xf numFmtId="0" fontId="0" fillId="4" borderId="76" xfId="0" applyFill="1" applyBorder="1" applyAlignment="1" applyProtection="1">
      <alignment/>
      <protection/>
    </xf>
    <xf numFmtId="0" fontId="0" fillId="4" borderId="15" xfId="0" applyFill="1" applyBorder="1" applyAlignment="1" applyProtection="1">
      <alignment/>
      <protection/>
    </xf>
    <xf numFmtId="0" fontId="0" fillId="0" borderId="0" xfId="0" applyFill="1" applyBorder="1" applyAlignment="1" applyProtection="1">
      <alignment/>
      <protection/>
    </xf>
    <xf numFmtId="0" fontId="5" fillId="24" borderId="0" xfId="62" applyFill="1" applyAlignment="1" applyProtection="1">
      <alignment/>
      <protection/>
    </xf>
    <xf numFmtId="0" fontId="40" fillId="24" borderId="0" xfId="0" applyNumberFormat="1" applyFont="1" applyFill="1" applyAlignment="1" applyProtection="1">
      <alignment horizontal="left" vertical="top"/>
      <protection/>
    </xf>
    <xf numFmtId="0" fontId="48" fillId="24" borderId="0" xfId="0" applyFont="1" applyFill="1" applyAlignment="1" applyProtection="1">
      <alignment horizontal="center" vertical="top"/>
      <protection/>
    </xf>
    <xf numFmtId="0" fontId="48" fillId="24" borderId="32" xfId="0" applyNumberFormat="1" applyFont="1" applyFill="1" applyBorder="1" applyAlignment="1" applyProtection="1">
      <alignment horizontal="left" vertical="top"/>
      <protection/>
    </xf>
    <xf numFmtId="0" fontId="48" fillId="24" borderId="12" xfId="0" applyNumberFormat="1" applyFont="1" applyFill="1" applyBorder="1" applyAlignment="1" applyProtection="1">
      <alignment horizontal="left" vertical="top"/>
      <protection/>
    </xf>
    <xf numFmtId="0" fontId="48" fillId="24" borderId="10" xfId="0" applyNumberFormat="1" applyFont="1" applyFill="1" applyBorder="1" applyAlignment="1" applyProtection="1">
      <alignment horizontal="left" vertical="top"/>
      <protection/>
    </xf>
    <xf numFmtId="180" fontId="0" fillId="28" borderId="34" xfId="0" applyNumberFormat="1" applyFont="1" applyFill="1" applyBorder="1" applyAlignment="1" applyProtection="1">
      <alignment vertical="top"/>
      <protection locked="0"/>
    </xf>
    <xf numFmtId="0" fontId="0" fillId="24" borderId="0" xfId="0" applyFont="1" applyFill="1" applyAlignment="1" applyProtection="1">
      <alignment horizontal="right" vertical="top"/>
      <protection/>
    </xf>
    <xf numFmtId="0" fontId="0" fillId="24" borderId="0" xfId="0" applyFont="1" applyFill="1" applyAlignment="1" applyProtection="1">
      <alignment horizontal="right" indent="1"/>
      <protection/>
    </xf>
    <xf numFmtId="0" fontId="0" fillId="24" borderId="0" xfId="0" applyFont="1" applyFill="1" applyAlignment="1" applyProtection="1">
      <alignment horizontal="right" vertical="top" indent="1"/>
      <protection/>
    </xf>
    <xf numFmtId="0" fontId="7" fillId="24" borderId="0" xfId="0" applyFont="1" applyFill="1" applyAlignment="1" applyProtection="1" quotePrefix="1">
      <alignment horizontal="right" vertical="top" wrapText="1"/>
      <protection/>
    </xf>
    <xf numFmtId="0" fontId="0" fillId="0" borderId="0" xfId="0" applyNumberFormat="1" applyFont="1" applyFill="1" applyBorder="1" applyAlignment="1" applyProtection="1">
      <alignment horizontal="right" vertical="top"/>
      <protection/>
    </xf>
    <xf numFmtId="0" fontId="3" fillId="24" borderId="0" xfId="0" applyFont="1" applyFill="1" applyBorder="1" applyAlignment="1" applyProtection="1">
      <alignment horizontal="center" vertical="top"/>
      <protection/>
    </xf>
    <xf numFmtId="0" fontId="0" fillId="24" borderId="0" xfId="0" applyFill="1" applyBorder="1" applyAlignment="1" applyProtection="1">
      <alignment horizontal="center" vertical="top" wrapText="1"/>
      <protection/>
    </xf>
    <xf numFmtId="0" fontId="25" fillId="24" borderId="0" xfId="0" applyFont="1" applyFill="1" applyBorder="1" applyAlignment="1" applyProtection="1">
      <alignment/>
      <protection/>
    </xf>
    <xf numFmtId="0" fontId="6" fillId="24" borderId="0" xfId="0" applyFont="1" applyFill="1" applyBorder="1" applyAlignment="1" applyProtection="1">
      <alignment vertical="top"/>
      <protection/>
    </xf>
    <xf numFmtId="49" fontId="0" fillId="28" borderId="11" xfId="0" applyNumberFormat="1" applyFont="1" applyFill="1" applyBorder="1" applyAlignment="1" applyProtection="1">
      <alignment horizontal="center" vertical="top"/>
      <protection locked="0"/>
    </xf>
    <xf numFmtId="0" fontId="0" fillId="24" borderId="0" xfId="0" applyFill="1" applyBorder="1" applyAlignment="1" applyProtection="1">
      <alignment horizontal="center" vertical="top"/>
      <protection/>
    </xf>
    <xf numFmtId="0" fontId="3" fillId="21" borderId="77" xfId="0" applyFont="1" applyFill="1" applyBorder="1" applyAlignment="1" applyProtection="1">
      <alignment/>
      <protection/>
    </xf>
    <xf numFmtId="0" fontId="0" fillId="21" borderId="77" xfId="0" applyFill="1" applyBorder="1" applyAlignment="1" applyProtection="1">
      <alignment/>
      <protection/>
    </xf>
    <xf numFmtId="0" fontId="3" fillId="21" borderId="64" xfId="0" applyFont="1" applyFill="1" applyBorder="1" applyAlignment="1" applyProtection="1">
      <alignment/>
      <protection/>
    </xf>
    <xf numFmtId="0" fontId="0" fillId="24" borderId="0" xfId="0" applyFont="1" applyFill="1" applyBorder="1" applyAlignment="1" applyProtection="1">
      <alignment vertical="top"/>
      <protection/>
    </xf>
    <xf numFmtId="0" fontId="3" fillId="24" borderId="28" xfId="0" applyNumberFormat="1" applyFont="1" applyFill="1" applyBorder="1" applyAlignment="1" applyProtection="1">
      <alignment horizontal="right" indent="1"/>
      <protection/>
    </xf>
    <xf numFmtId="0" fontId="0" fillId="4" borderId="77" xfId="0" applyNumberFormat="1" applyFont="1" applyFill="1" applyBorder="1" applyAlignment="1" applyProtection="1">
      <alignment vertical="top"/>
      <protection/>
    </xf>
    <xf numFmtId="0" fontId="3" fillId="24" borderId="41" xfId="0" applyNumberFormat="1" applyFont="1" applyFill="1" applyBorder="1" applyAlignment="1" applyProtection="1">
      <alignment horizontal="right"/>
      <protection/>
    </xf>
    <xf numFmtId="0" fontId="0" fillId="24" borderId="11" xfId="0" applyNumberFormat="1" applyFont="1" applyFill="1" applyBorder="1" applyAlignment="1" applyProtection="1">
      <alignment horizontal="left" vertical="top"/>
      <protection/>
    </xf>
    <xf numFmtId="0" fontId="0" fillId="24" borderId="78" xfId="0" applyNumberFormat="1" applyFont="1" applyFill="1" applyBorder="1" applyAlignment="1" applyProtection="1">
      <alignment horizontal="left" vertical="top"/>
      <protection/>
    </xf>
    <xf numFmtId="0" fontId="0" fillId="21" borderId="0" xfId="0" applyFill="1" applyAlignment="1" applyProtection="1">
      <alignment/>
      <protection/>
    </xf>
    <xf numFmtId="0" fontId="0" fillId="24" borderId="78" xfId="0" applyNumberFormat="1" applyFont="1" applyFill="1" applyBorder="1" applyAlignment="1" applyProtection="1">
      <alignment horizontal="left" vertical="top" indent="1"/>
      <protection/>
    </xf>
    <xf numFmtId="0" fontId="0" fillId="25" borderId="0" xfId="0" applyNumberFormat="1" applyFont="1" applyFill="1" applyBorder="1" applyAlignment="1" applyProtection="1">
      <alignment vertical="center"/>
      <protection/>
    </xf>
    <xf numFmtId="0" fontId="0" fillId="24" borderId="0" xfId="0" applyFill="1" applyAlignment="1" applyProtection="1">
      <alignment vertical="center"/>
      <protection/>
    </xf>
    <xf numFmtId="0" fontId="0" fillId="24" borderId="0" xfId="0" applyFont="1" applyFill="1" applyAlignment="1" applyProtection="1">
      <alignment vertical="center"/>
      <protection/>
    </xf>
    <xf numFmtId="0" fontId="0" fillId="0" borderId="0" xfId="0" applyNumberFormat="1" applyFont="1" applyFill="1" applyBorder="1" applyAlignment="1" applyProtection="1">
      <alignment vertical="center"/>
      <protection/>
    </xf>
    <xf numFmtId="0" fontId="0" fillId="24" borderId="20" xfId="0" applyNumberFormat="1" applyFont="1" applyFill="1" applyBorder="1" applyAlignment="1" applyProtection="1">
      <alignment horizontal="center" vertical="top"/>
      <protection/>
    </xf>
    <xf numFmtId="0" fontId="3" fillId="24" borderId="37" xfId="0" applyNumberFormat="1" applyFont="1" applyFill="1" applyBorder="1" applyAlignment="1" applyProtection="1">
      <alignment vertical="top"/>
      <protection/>
    </xf>
    <xf numFmtId="180" fontId="3" fillId="4" borderId="37" xfId="0" applyNumberFormat="1" applyFont="1" applyFill="1" applyBorder="1" applyAlignment="1" applyProtection="1">
      <alignment vertical="top"/>
      <protection/>
    </xf>
    <xf numFmtId="0" fontId="3" fillId="24" borderId="0" xfId="0" applyFont="1" applyFill="1" applyBorder="1" applyAlignment="1" applyProtection="1">
      <alignment vertical="top"/>
      <protection/>
    </xf>
    <xf numFmtId="0" fontId="26" fillId="24" borderId="0" xfId="0" applyFont="1" applyFill="1" applyBorder="1" applyAlignment="1" applyProtection="1">
      <alignment vertical="top"/>
      <protection/>
    </xf>
    <xf numFmtId="0" fontId="0" fillId="24" borderId="0" xfId="0" applyNumberFormat="1" applyFont="1" applyFill="1" applyBorder="1" applyAlignment="1" applyProtection="1">
      <alignment vertical="top"/>
      <protection/>
    </xf>
    <xf numFmtId="0" fontId="0" fillId="24" borderId="28" xfId="0" applyNumberFormat="1" applyFont="1" applyFill="1" applyBorder="1" applyAlignment="1" applyProtection="1">
      <alignment horizontal="left" vertical="top"/>
      <protection/>
    </xf>
    <xf numFmtId="0" fontId="0" fillId="0" borderId="79" xfId="0" applyNumberFormat="1" applyFont="1" applyFill="1" applyBorder="1" applyAlignment="1" applyProtection="1">
      <alignment vertical="top"/>
      <protection/>
    </xf>
    <xf numFmtId="0" fontId="0" fillId="0" borderId="80" xfId="0" applyNumberFormat="1" applyFont="1" applyFill="1" applyBorder="1" applyAlignment="1" applyProtection="1">
      <alignment vertical="top"/>
      <protection/>
    </xf>
    <xf numFmtId="0" fontId="0" fillId="0" borderId="81" xfId="0" applyNumberFormat="1" applyFont="1" applyFill="1" applyBorder="1" applyAlignment="1" applyProtection="1">
      <alignment vertical="top"/>
      <protection/>
    </xf>
    <xf numFmtId="0" fontId="0" fillId="4" borderId="11" xfId="0" applyNumberFormat="1" applyFont="1" applyFill="1" applyBorder="1" applyAlignment="1" applyProtection="1">
      <alignment vertical="top" wrapText="1"/>
      <protection/>
    </xf>
    <xf numFmtId="49" fontId="0" fillId="24" borderId="0" xfId="0" applyNumberFormat="1" applyFont="1" applyFill="1" applyBorder="1" applyAlignment="1" applyProtection="1">
      <alignment horizontal="left" vertical="top"/>
      <protection/>
    </xf>
    <xf numFmtId="0" fontId="24"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5" fillId="24" borderId="0" xfId="62" applyFill="1" applyBorder="1" applyAlignment="1" applyProtection="1">
      <alignment horizontal="center" vertical="top"/>
      <protection/>
    </xf>
    <xf numFmtId="0" fontId="0" fillId="24" borderId="82" xfId="0" applyFill="1" applyBorder="1" applyAlignment="1" applyProtection="1">
      <alignment vertical="top"/>
      <protection/>
    </xf>
    <xf numFmtId="0" fontId="0" fillId="24" borderId="83" xfId="0" applyFill="1" applyBorder="1" applyAlignment="1" applyProtection="1">
      <alignment vertical="top"/>
      <protection/>
    </xf>
    <xf numFmtId="0" fontId="0" fillId="24" borderId="84" xfId="0" applyFill="1" applyBorder="1" applyAlignment="1" applyProtection="1">
      <alignment vertical="top"/>
      <protection/>
    </xf>
    <xf numFmtId="0" fontId="0" fillId="4" borderId="83" xfId="0" applyFill="1" applyBorder="1" applyAlignment="1" applyProtection="1">
      <alignment vertical="top"/>
      <protection/>
    </xf>
    <xf numFmtId="0" fontId="0" fillId="4" borderId="85" xfId="0" applyFill="1" applyBorder="1" applyAlignment="1" applyProtection="1">
      <alignment vertical="top"/>
      <protection/>
    </xf>
    <xf numFmtId="0" fontId="0" fillId="24" borderId="38" xfId="0" applyFill="1" applyBorder="1" applyAlignment="1" applyProtection="1">
      <alignment vertical="top"/>
      <protection/>
    </xf>
    <xf numFmtId="0" fontId="0" fillId="24" borderId="20" xfId="0" applyFill="1" applyBorder="1" applyAlignment="1" applyProtection="1">
      <alignment vertical="top"/>
      <protection/>
    </xf>
    <xf numFmtId="0" fontId="0" fillId="24" borderId="29" xfId="0" applyFill="1" applyBorder="1" applyAlignment="1" applyProtection="1">
      <alignment vertical="top"/>
      <protection/>
    </xf>
    <xf numFmtId="0" fontId="0" fillId="4" borderId="20" xfId="0" applyFill="1" applyBorder="1" applyAlignment="1" applyProtection="1">
      <alignment vertical="top"/>
      <protection/>
    </xf>
    <xf numFmtId="0" fontId="0" fillId="4" borderId="21" xfId="0" applyFill="1" applyBorder="1" applyAlignment="1" applyProtection="1">
      <alignment vertical="top"/>
      <protection/>
    </xf>
    <xf numFmtId="0" fontId="0" fillId="24" borderId="10" xfId="0" applyFill="1" applyBorder="1" applyAlignment="1" applyProtection="1">
      <alignment vertical="top"/>
      <protection/>
    </xf>
    <xf numFmtId="0" fontId="49" fillId="25" borderId="0" xfId="0" applyNumberFormat="1" applyFont="1" applyFill="1" applyAlignment="1" applyProtection="1">
      <alignment horizontal="left" vertical="top" wrapText="1"/>
      <protection/>
    </xf>
    <xf numFmtId="0" fontId="3" fillId="10" borderId="64" xfId="0" applyNumberFormat="1" applyFont="1" applyFill="1" applyBorder="1" applyAlignment="1" applyProtection="1">
      <alignment horizontal="left" vertical="center" wrapText="1"/>
      <protection/>
    </xf>
    <xf numFmtId="0" fontId="40" fillId="24" borderId="86" xfId="0" applyNumberFormat="1" applyFont="1" applyFill="1" applyBorder="1" applyAlignment="1" applyProtection="1">
      <alignment horizontal="left" vertical="top" wrapText="1"/>
      <protection/>
    </xf>
    <xf numFmtId="0" fontId="5" fillId="24" borderId="0" xfId="62" applyFill="1" applyAlignment="1" applyProtection="1">
      <alignment horizontal="left" vertical="top"/>
      <protection/>
    </xf>
    <xf numFmtId="0" fontId="0" fillId="24" borderId="0" xfId="0" applyFill="1" applyAlignment="1" applyProtection="1">
      <alignment horizontal="left" vertical="top" wrapText="1"/>
      <protection/>
    </xf>
    <xf numFmtId="0" fontId="40" fillId="24" borderId="0" xfId="0" applyNumberFormat="1" applyFont="1" applyFill="1" applyAlignment="1" applyProtection="1">
      <alignment horizontal="left" vertical="top" wrapText="1"/>
      <protection/>
    </xf>
    <xf numFmtId="0" fontId="31" fillId="24" borderId="0" xfId="0" applyNumberFormat="1" applyFont="1" applyFill="1" applyAlignment="1" applyProtection="1">
      <alignment horizontal="left" vertical="top" wrapText="1"/>
      <protection/>
    </xf>
    <xf numFmtId="0" fontId="27" fillId="24" borderId="0" xfId="0" applyFont="1" applyFill="1" applyAlignment="1" applyProtection="1">
      <alignment horizontal="left" vertical="top" wrapText="1"/>
      <protection/>
    </xf>
    <xf numFmtId="0" fontId="0" fillId="20" borderId="0" xfId="0" applyFill="1" applyAlignment="1" applyProtection="1">
      <alignment horizontal="left" vertical="top" wrapText="1"/>
      <protection/>
    </xf>
    <xf numFmtId="0" fontId="40" fillId="24" borderId="78" xfId="0" applyNumberFormat="1" applyFont="1" applyFill="1" applyBorder="1" applyAlignment="1" applyProtection="1">
      <alignment horizontal="left" vertical="top" wrapText="1"/>
      <protection/>
    </xf>
    <xf numFmtId="0" fontId="7" fillId="24" borderId="0" xfId="0" applyFont="1" applyFill="1" applyAlignment="1" applyProtection="1">
      <alignment horizontal="left" vertical="top" wrapText="1"/>
      <protection/>
    </xf>
    <xf numFmtId="0" fontId="32" fillId="24" borderId="0" xfId="0" applyFont="1" applyFill="1" applyAlignment="1" applyProtection="1">
      <alignment horizontal="left" vertical="top" wrapText="1"/>
      <protection/>
    </xf>
    <xf numFmtId="0" fontId="39" fillId="24" borderId="0" xfId="0" applyNumberFormat="1" applyFont="1" applyFill="1" applyBorder="1" applyAlignment="1" applyProtection="1">
      <alignment horizontal="left" vertical="top" wrapText="1"/>
      <protection/>
    </xf>
    <xf numFmtId="0" fontId="53" fillId="24" borderId="0" xfId="0" applyFont="1" applyFill="1" applyAlignment="1" applyProtection="1">
      <alignment horizontal="left" vertical="top" wrapText="1"/>
      <protection/>
    </xf>
    <xf numFmtId="0" fontId="3" fillId="24" borderId="0" xfId="0" applyFont="1" applyFill="1" applyAlignment="1" applyProtection="1">
      <alignment horizontal="left" vertical="top" wrapText="1"/>
      <protection/>
    </xf>
    <xf numFmtId="0" fontId="39" fillId="24" borderId="0" xfId="0" applyFont="1" applyFill="1" applyAlignment="1" applyProtection="1">
      <alignment horizontal="left" vertical="top" wrapText="1"/>
      <protection/>
    </xf>
    <xf numFmtId="0" fontId="5" fillId="24" borderId="0" xfId="62" applyFill="1" applyAlignment="1" applyProtection="1">
      <alignment horizontal="left" vertical="top" wrapText="1"/>
      <protection/>
    </xf>
    <xf numFmtId="0" fontId="2" fillId="26" borderId="0" xfId="0" applyFont="1" applyFill="1" applyBorder="1" applyAlignment="1" applyProtection="1">
      <alignment horizontal="left" vertical="top" wrapText="1"/>
      <protection/>
    </xf>
    <xf numFmtId="0" fontId="3" fillId="24" borderId="10" xfId="0" applyFont="1" applyFill="1" applyBorder="1" applyAlignment="1" applyProtection="1">
      <alignment horizontal="left" vertical="top" wrapText="1"/>
      <protection/>
    </xf>
    <xf numFmtId="0" fontId="0" fillId="24" borderId="87" xfId="0" applyNumberFormat="1" applyFont="1" applyFill="1" applyBorder="1" applyAlignment="1" applyProtection="1">
      <alignment horizontal="left" vertical="top" wrapText="1"/>
      <protection/>
    </xf>
    <xf numFmtId="0" fontId="0" fillId="24" borderId="88" xfId="0" applyNumberFormat="1" applyFont="1" applyFill="1" applyBorder="1" applyAlignment="1" applyProtection="1">
      <alignment horizontal="left" vertical="top" wrapText="1"/>
      <protection/>
    </xf>
    <xf numFmtId="0" fontId="0" fillId="24" borderId="89" xfId="0" applyNumberFormat="1" applyFont="1" applyFill="1" applyBorder="1" applyAlignment="1" applyProtection="1">
      <alignment horizontal="left" vertical="top" wrapText="1"/>
      <protection/>
    </xf>
    <xf numFmtId="0" fontId="52" fillId="24" borderId="0" xfId="0" applyFont="1" applyFill="1" applyAlignment="1" applyProtection="1">
      <alignment horizontal="left" vertical="top"/>
      <protection/>
    </xf>
    <xf numFmtId="0" fontId="28" fillId="24" borderId="10" xfId="0" applyFont="1" applyFill="1" applyBorder="1" applyAlignment="1" applyProtection="1">
      <alignment horizontal="left" vertical="top" wrapText="1"/>
      <protection/>
    </xf>
    <xf numFmtId="0" fontId="0" fillId="24" borderId="90" xfId="0" applyNumberFormat="1" applyFont="1" applyFill="1" applyBorder="1" applyAlignment="1" applyProtection="1">
      <alignment horizontal="left" vertical="top"/>
      <protection/>
    </xf>
    <xf numFmtId="0" fontId="38" fillId="10" borderId="64" xfId="0" applyFont="1" applyFill="1" applyBorder="1" applyAlignment="1" applyProtection="1">
      <alignment horizontal="left" vertical="center" wrapText="1" indent="1"/>
      <protection/>
    </xf>
    <xf numFmtId="0" fontId="1" fillId="0" borderId="0" xfId="72" applyAlignment="1" applyProtection="1">
      <alignment horizontal="center"/>
      <protection/>
    </xf>
    <xf numFmtId="0" fontId="1" fillId="0" borderId="0" xfId="72" applyFont="1" applyProtection="1">
      <alignment/>
      <protection/>
    </xf>
    <xf numFmtId="14" fontId="0" fillId="18" borderId="91" xfId="0" applyNumberFormat="1" applyFill="1" applyBorder="1" applyAlignment="1" applyProtection="1">
      <alignment horizontal="center"/>
      <protection/>
    </xf>
    <xf numFmtId="0" fontId="42" fillId="25" borderId="0" xfId="0" applyFont="1" applyFill="1" applyAlignment="1" applyProtection="1">
      <alignment/>
      <protection/>
    </xf>
    <xf numFmtId="0" fontId="3" fillId="21" borderId="77" xfId="0" applyFont="1" applyFill="1" applyBorder="1" applyAlignment="1" applyProtection="1">
      <alignment horizontal="left"/>
      <protection/>
    </xf>
    <xf numFmtId="0" fontId="30" fillId="21" borderId="77" xfId="62" applyFont="1" applyFill="1" applyBorder="1" applyAlignment="1" applyProtection="1">
      <alignment horizontal="left" vertical="top" wrapText="1"/>
      <protection/>
    </xf>
    <xf numFmtId="0" fontId="30" fillId="21" borderId="40" xfId="62" applyFont="1" applyFill="1" applyBorder="1" applyAlignment="1" applyProtection="1">
      <alignment horizontal="left" vertical="top" wrapText="1"/>
      <protection/>
    </xf>
    <xf numFmtId="0" fontId="30" fillId="21" borderId="39" xfId="62" applyFont="1" applyFill="1" applyBorder="1" applyAlignment="1" applyProtection="1">
      <alignment horizontal="left" vertical="top" wrapText="1"/>
      <protection/>
    </xf>
    <xf numFmtId="0" fontId="6" fillId="24" borderId="0" xfId="0" applyFont="1" applyFill="1" applyBorder="1" applyAlignment="1" applyProtection="1">
      <alignment horizontal="left" vertical="top"/>
      <protection/>
    </xf>
    <xf numFmtId="0" fontId="0" fillId="24" borderId="82" xfId="0" applyFill="1" applyBorder="1" applyAlignment="1" applyProtection="1">
      <alignment horizontal="left" vertical="top"/>
      <protection/>
    </xf>
    <xf numFmtId="0" fontId="0" fillId="24" borderId="38" xfId="0" applyFill="1" applyBorder="1" applyAlignment="1" applyProtection="1">
      <alignment horizontal="left" vertical="top"/>
      <protection/>
    </xf>
    <xf numFmtId="0" fontId="3" fillId="24" borderId="0" xfId="0" applyFont="1" applyFill="1" applyBorder="1" applyAlignment="1" applyProtection="1">
      <alignment horizontal="left" vertical="top" wrapText="1"/>
      <protection/>
    </xf>
    <xf numFmtId="0" fontId="0" fillId="24" borderId="12" xfId="0" applyFill="1" applyBorder="1" applyAlignment="1" applyProtection="1">
      <alignment horizontal="left" vertical="top" wrapText="1"/>
      <protection/>
    </xf>
    <xf numFmtId="0" fontId="6" fillId="24" borderId="0" xfId="0" applyFont="1" applyFill="1" applyAlignment="1" applyProtection="1">
      <alignment horizontal="left" vertical="top" wrapText="1"/>
      <protection/>
    </xf>
    <xf numFmtId="0" fontId="51" fillId="24" borderId="0" xfId="0" applyFont="1" applyFill="1" applyAlignment="1" applyProtection="1">
      <alignment horizontal="left" vertical="top" wrapText="1"/>
      <protection/>
    </xf>
    <xf numFmtId="0" fontId="50" fillId="24" borderId="0" xfId="0" applyFont="1" applyFill="1" applyAlignment="1" applyProtection="1">
      <alignment horizontal="left" vertical="top" wrapText="1"/>
      <protection/>
    </xf>
    <xf numFmtId="0" fontId="7" fillId="24" borderId="10" xfId="0" applyFont="1" applyFill="1" applyBorder="1" applyAlignment="1" applyProtection="1">
      <alignment horizontal="left" vertical="top" wrapText="1"/>
      <protection/>
    </xf>
    <xf numFmtId="0" fontId="50" fillId="24" borderId="92" xfId="0" applyFont="1" applyFill="1" applyBorder="1" applyAlignment="1" applyProtection="1">
      <alignment horizontal="left" vertical="top" wrapText="1"/>
      <protection/>
    </xf>
    <xf numFmtId="0" fontId="0" fillId="20" borderId="86" xfId="0" applyFill="1" applyBorder="1" applyAlignment="1" applyProtection="1">
      <alignment horizontal="left" vertical="top" wrapText="1"/>
      <protection/>
    </xf>
    <xf numFmtId="0" fontId="5" fillId="21" borderId="0" xfId="62" applyFill="1" applyAlignment="1" applyProtection="1">
      <alignment horizontal="left" vertical="top"/>
      <protection/>
    </xf>
    <xf numFmtId="0" fontId="3" fillId="21" borderId="40" xfId="0" applyFont="1" applyFill="1" applyBorder="1" applyAlignment="1" applyProtection="1">
      <alignment horizontal="left" vertical="center" wrapText="1"/>
      <protection/>
    </xf>
    <xf numFmtId="0" fontId="5" fillId="21" borderId="93" xfId="62" applyFill="1" applyBorder="1" applyAlignment="1" applyProtection="1">
      <alignment horizontal="left" vertical="top" wrapText="1"/>
      <protection/>
    </xf>
    <xf numFmtId="0" fontId="5" fillId="21" borderId="94" xfId="62" applyFill="1" applyBorder="1" applyAlignment="1" applyProtection="1">
      <alignment horizontal="left" vertical="top" wrapText="1"/>
      <protection/>
    </xf>
    <xf numFmtId="0" fontId="5" fillId="21" borderId="67" xfId="62" applyFill="1" applyBorder="1" applyAlignment="1" applyProtection="1">
      <alignment horizontal="left" vertical="top" wrapText="1"/>
      <protection/>
    </xf>
    <xf numFmtId="0" fontId="5" fillId="21" borderId="73" xfId="62" applyFill="1" applyBorder="1" applyAlignment="1" applyProtection="1">
      <alignment horizontal="left" vertical="top" wrapText="1"/>
      <protection/>
    </xf>
    <xf numFmtId="0" fontId="28" fillId="24" borderId="0" xfId="0" applyFont="1" applyFill="1" applyAlignment="1" applyProtection="1">
      <alignment horizontal="left" vertical="top" wrapText="1"/>
      <protection/>
    </xf>
    <xf numFmtId="0" fontId="3" fillId="24" borderId="0" xfId="0" applyFont="1" applyFill="1" applyAlignment="1" applyProtection="1">
      <alignment horizontal="left" vertical="top" wrapText="1"/>
      <protection/>
    </xf>
    <xf numFmtId="0" fontId="0" fillId="24" borderId="0" xfId="0" applyFont="1" applyFill="1" applyAlignment="1" applyProtection="1">
      <alignment horizontal="left" vertical="top" wrapText="1"/>
      <protection/>
    </xf>
    <xf numFmtId="0" fontId="3" fillId="24" borderId="10" xfId="0" applyFont="1" applyFill="1" applyBorder="1" applyAlignment="1" applyProtection="1">
      <alignment horizontal="left" vertical="top" wrapText="1"/>
      <protection/>
    </xf>
    <xf numFmtId="0" fontId="0" fillId="24" borderId="87" xfId="0" applyFont="1" applyFill="1" applyBorder="1" applyAlignment="1" applyProtection="1">
      <alignment horizontal="left" vertical="top" wrapText="1"/>
      <protection/>
    </xf>
    <xf numFmtId="0" fontId="0" fillId="24" borderId="89" xfId="0" applyFont="1" applyFill="1" applyBorder="1" applyAlignment="1" applyProtection="1">
      <alignment horizontal="left" vertical="top" wrapText="1"/>
      <protection/>
    </xf>
    <xf numFmtId="0" fontId="0" fillId="24" borderId="88" xfId="0"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top" wrapText="1"/>
      <protection/>
    </xf>
    <xf numFmtId="0" fontId="0" fillId="24" borderId="87" xfId="0" applyNumberFormat="1" applyFont="1" applyFill="1" applyBorder="1" applyAlignment="1" applyProtection="1">
      <alignment horizontal="left" vertical="top" wrapText="1"/>
      <protection/>
    </xf>
    <xf numFmtId="0" fontId="0" fillId="24" borderId="88" xfId="0" applyNumberFormat="1" applyFont="1" applyFill="1" applyBorder="1" applyAlignment="1" applyProtection="1">
      <alignment horizontal="left" vertical="top" wrapText="1"/>
      <protection/>
    </xf>
    <xf numFmtId="0" fontId="3" fillId="24" borderId="0" xfId="0" applyNumberFormat="1" applyFont="1" applyFill="1" applyAlignment="1" applyProtection="1">
      <alignment horizontal="left" vertical="top" wrapText="1"/>
      <protection/>
    </xf>
    <xf numFmtId="0" fontId="0" fillId="24" borderId="89" xfId="0" applyNumberFormat="1" applyFont="1" applyFill="1" applyBorder="1" applyAlignment="1" applyProtection="1">
      <alignment horizontal="left" vertical="top" wrapText="1"/>
      <protection/>
    </xf>
    <xf numFmtId="0" fontId="3" fillId="24" borderId="41" xfId="0" applyFont="1" applyFill="1" applyBorder="1" applyAlignment="1" applyProtection="1">
      <alignment horizontal="left" vertical="top"/>
      <protection/>
    </xf>
    <xf numFmtId="0" fontId="41" fillId="24" borderId="0" xfId="0" applyFont="1" applyFill="1" applyBorder="1" applyAlignment="1" applyProtection="1">
      <alignment horizontal="left" vertical="top" wrapText="1"/>
      <protection/>
    </xf>
    <xf numFmtId="0" fontId="0" fillId="24" borderId="32" xfId="0" applyNumberFormat="1" applyFont="1" applyFill="1" applyBorder="1" applyAlignment="1" applyProtection="1">
      <alignment horizontal="left" vertical="top" wrapText="1"/>
      <protection/>
    </xf>
    <xf numFmtId="0" fontId="3" fillId="24" borderId="28" xfId="0" applyNumberFormat="1" applyFont="1" applyFill="1" applyBorder="1" applyAlignment="1" applyProtection="1">
      <alignment horizontal="left" wrapText="1"/>
      <protection/>
    </xf>
    <xf numFmtId="0" fontId="3" fillId="24" borderId="95" xfId="0" applyNumberFormat="1" applyFont="1" applyFill="1" applyBorder="1" applyAlignment="1" applyProtection="1">
      <alignment horizontal="left" wrapText="1"/>
      <protection/>
    </xf>
    <xf numFmtId="0" fontId="3" fillId="24" borderId="10" xfId="0" applyNumberFormat="1" applyFont="1" applyFill="1" applyBorder="1" applyAlignment="1" applyProtection="1">
      <alignment horizontal="left" vertical="top" wrapText="1"/>
      <protection/>
    </xf>
    <xf numFmtId="0" fontId="3" fillId="24" borderId="37" xfId="0" applyNumberFormat="1" applyFont="1" applyFill="1" applyBorder="1" applyAlignment="1" applyProtection="1">
      <alignment horizontal="left" vertical="top"/>
      <protection/>
    </xf>
    <xf numFmtId="0" fontId="3" fillId="0" borderId="95" xfId="0" applyNumberFormat="1" applyFont="1" applyFill="1" applyBorder="1" applyAlignment="1" applyProtection="1">
      <alignment horizontal="left" wrapText="1"/>
      <protection/>
    </xf>
    <xf numFmtId="0" fontId="7" fillId="24" borderId="0" xfId="0" applyNumberFormat="1" applyFont="1" applyFill="1" applyAlignment="1" applyProtection="1">
      <alignment horizontal="left" vertical="top" wrapText="1"/>
      <protection/>
    </xf>
    <xf numFmtId="0" fontId="42" fillId="24" borderId="88" xfId="0" applyNumberFormat="1" applyFont="1" applyFill="1" applyBorder="1" applyAlignment="1" applyProtection="1">
      <alignment horizontal="left" vertical="top" wrapText="1"/>
      <protection/>
    </xf>
    <xf numFmtId="0" fontId="3" fillId="24" borderId="32" xfId="0" applyNumberFormat="1" applyFont="1" applyFill="1" applyBorder="1" applyAlignment="1" applyProtection="1">
      <alignment horizontal="left" vertical="top" wrapText="1"/>
      <protection/>
    </xf>
    <xf numFmtId="0" fontId="0" fillId="24" borderId="32" xfId="0" applyNumberFormat="1" applyFont="1" applyFill="1" applyBorder="1" applyAlignment="1" applyProtection="1">
      <alignment horizontal="left" vertical="top" wrapText="1"/>
      <protection/>
    </xf>
    <xf numFmtId="0" fontId="0" fillId="24" borderId="96" xfId="0" applyNumberFormat="1" applyFont="1" applyFill="1" applyBorder="1" applyAlignment="1" applyProtection="1">
      <alignment horizontal="left" vertical="top" wrapText="1"/>
      <protection/>
    </xf>
    <xf numFmtId="0" fontId="0" fillId="24" borderId="22" xfId="0" applyNumberFormat="1" applyFont="1" applyFill="1" applyBorder="1" applyAlignment="1" applyProtection="1">
      <alignment horizontal="left" vertical="top" wrapText="1"/>
      <protection/>
    </xf>
    <xf numFmtId="0" fontId="0" fillId="24" borderId="0" xfId="0" applyNumberFormat="1" applyFont="1" applyFill="1" applyBorder="1" applyAlignment="1" applyProtection="1">
      <alignment horizontal="left" vertical="top" wrapText="1"/>
      <protection/>
    </xf>
    <xf numFmtId="0" fontId="0" fillId="24" borderId="97" xfId="0" applyNumberFormat="1" applyFont="1" applyFill="1" applyBorder="1" applyAlignment="1" applyProtection="1">
      <alignment horizontal="left" vertical="top"/>
      <protection/>
    </xf>
    <xf numFmtId="0" fontId="0" fillId="24" borderId="97" xfId="0" applyNumberFormat="1" applyFont="1" applyFill="1" applyBorder="1" applyAlignment="1" applyProtection="1">
      <alignment horizontal="left" vertical="top" wrapText="1"/>
      <protection/>
    </xf>
    <xf numFmtId="0" fontId="3" fillId="24" borderId="0" xfId="0" applyFont="1" applyFill="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0" fontId="0" fillId="24" borderId="87" xfId="0" applyNumberFormat="1" applyFont="1" applyFill="1" applyBorder="1" applyAlignment="1" applyProtection="1">
      <alignment horizontal="left" vertical="center" wrapText="1"/>
      <protection/>
    </xf>
    <xf numFmtId="0" fontId="0" fillId="24" borderId="88" xfId="0" applyNumberFormat="1" applyFont="1" applyFill="1" applyBorder="1" applyAlignment="1" applyProtection="1">
      <alignment horizontal="left" vertical="center" wrapText="1"/>
      <protection/>
    </xf>
    <xf numFmtId="0" fontId="0" fillId="24" borderId="96" xfId="0" applyNumberFormat="1" applyFont="1" applyFill="1" applyBorder="1" applyAlignment="1" applyProtection="1">
      <alignment horizontal="left" vertical="center" wrapText="1"/>
      <protection/>
    </xf>
    <xf numFmtId="0" fontId="0" fillId="24" borderId="22" xfId="0" applyNumberFormat="1" applyFont="1" applyFill="1" applyBorder="1" applyAlignment="1" applyProtection="1">
      <alignment horizontal="left" vertical="center" wrapText="1"/>
      <protection/>
    </xf>
    <xf numFmtId="0" fontId="28" fillId="24" borderId="0" xfId="0" applyFont="1" applyFill="1" applyAlignment="1" applyProtection="1">
      <alignment horizontal="left" vertical="center" wrapText="1"/>
      <protection/>
    </xf>
    <xf numFmtId="0" fontId="7" fillId="24" borderId="0" xfId="0" applyFont="1" applyFill="1" applyAlignment="1" applyProtection="1">
      <alignment horizontal="left" vertical="center" wrapText="1"/>
      <protection/>
    </xf>
    <xf numFmtId="0" fontId="32" fillId="24" borderId="0" xfId="0" applyFont="1" applyFill="1" applyAlignment="1" applyProtection="1">
      <alignment horizontal="left" vertical="center" wrapText="1"/>
      <protection/>
    </xf>
    <xf numFmtId="0" fontId="3" fillId="24" borderId="22" xfId="0" applyNumberFormat="1" applyFont="1" applyFill="1" applyBorder="1" applyAlignment="1" applyProtection="1">
      <alignment horizontal="left" vertical="top" wrapText="1"/>
      <protection/>
    </xf>
    <xf numFmtId="0" fontId="0" fillId="24" borderId="32" xfId="0" applyNumberFormat="1" applyFont="1" applyFill="1" applyBorder="1" applyAlignment="1" applyProtection="1">
      <alignment horizontal="left" vertical="center" wrapText="1"/>
      <protection/>
    </xf>
    <xf numFmtId="0" fontId="3" fillId="24" borderId="0" xfId="0" applyNumberFormat="1" applyFont="1" applyFill="1" applyBorder="1" applyAlignment="1" applyProtection="1">
      <alignment horizontal="left" vertical="center" wrapText="1"/>
      <protection/>
    </xf>
    <xf numFmtId="0" fontId="0" fillId="24" borderId="32" xfId="0" applyNumberFormat="1" applyFont="1" applyFill="1" applyBorder="1" applyAlignment="1" applyProtection="1">
      <alignment horizontal="left" vertical="center" wrapText="1"/>
      <protection/>
    </xf>
    <xf numFmtId="0" fontId="7" fillId="24" borderId="10" xfId="0" applyFont="1" applyFill="1" applyBorder="1" applyAlignment="1" applyProtection="1">
      <alignment horizontal="left" vertical="center" wrapText="1"/>
      <protection/>
    </xf>
    <xf numFmtId="0" fontId="0" fillId="24" borderId="87" xfId="0" applyNumberFormat="1" applyFont="1" applyFill="1" applyBorder="1" applyAlignment="1" applyProtection="1">
      <alignment horizontal="left" vertical="center" wrapText="1"/>
      <protection/>
    </xf>
    <xf numFmtId="0" fontId="0" fillId="24" borderId="89" xfId="0" applyNumberFormat="1" applyFont="1" applyFill="1" applyBorder="1" applyAlignment="1" applyProtection="1">
      <alignment horizontal="left" vertical="center" wrapText="1"/>
      <protection/>
    </xf>
    <xf numFmtId="0" fontId="3" fillId="24" borderId="32" xfId="0" applyNumberFormat="1" applyFont="1" applyFill="1" applyBorder="1" applyAlignment="1" applyProtection="1">
      <alignment horizontal="left" vertical="center" wrapText="1"/>
      <protection/>
    </xf>
    <xf numFmtId="0" fontId="0" fillId="24" borderId="0" xfId="0" applyNumberFormat="1" applyFont="1" applyFill="1" applyBorder="1" applyAlignment="1" applyProtection="1">
      <alignment horizontal="left" vertical="top"/>
      <protection/>
    </xf>
    <xf numFmtId="0" fontId="0" fillId="4" borderId="32" xfId="0" applyNumberFormat="1" applyFont="1" applyFill="1" applyBorder="1" applyAlignment="1" applyProtection="1">
      <alignment horizontal="left" vertical="top" wrapText="1"/>
      <protection/>
    </xf>
    <xf numFmtId="0" fontId="3" fillId="24" borderId="95" xfId="0" applyNumberFormat="1" applyFont="1" applyFill="1" applyBorder="1" applyAlignment="1" applyProtection="1">
      <alignment horizontal="left"/>
      <protection/>
    </xf>
    <xf numFmtId="0" fontId="3" fillId="24" borderId="41" xfId="0" applyNumberFormat="1" applyFont="1" applyFill="1" applyBorder="1" applyAlignment="1" applyProtection="1">
      <alignment horizontal="left"/>
      <protection/>
    </xf>
    <xf numFmtId="0" fontId="3" fillId="24" borderId="95" xfId="0" applyNumberFormat="1" applyFont="1" applyFill="1" applyBorder="1" applyAlignment="1" applyProtection="1">
      <alignment horizontal="left" vertical="top" wrapText="1"/>
      <protection/>
    </xf>
    <xf numFmtId="0" fontId="3" fillId="24" borderId="95" xfId="0" applyFont="1" applyFill="1" applyBorder="1" applyAlignment="1" applyProtection="1">
      <alignment horizontal="left" vertical="top" wrapText="1"/>
      <protection/>
    </xf>
    <xf numFmtId="0" fontId="0" fillId="24" borderId="78" xfId="0" applyNumberFormat="1" applyFont="1" applyFill="1" applyBorder="1" applyAlignment="1" applyProtection="1">
      <alignment horizontal="left" vertical="top" wrapText="1"/>
      <protection/>
    </xf>
    <xf numFmtId="0" fontId="3" fillId="24" borderId="10" xfId="0" applyNumberFormat="1" applyFont="1" applyFill="1" applyBorder="1" applyAlignment="1" applyProtection="1">
      <alignment horizontal="left" vertical="top"/>
      <protection/>
    </xf>
    <xf numFmtId="0" fontId="3" fillId="24" borderId="10" xfId="0" applyNumberFormat="1" applyFont="1" applyFill="1" applyBorder="1" applyAlignment="1" applyProtection="1">
      <alignment horizontal="left" vertical="top" indent="1"/>
      <protection/>
    </xf>
    <xf numFmtId="0" fontId="3" fillId="24" borderId="10" xfId="0" applyNumberFormat="1" applyFont="1" applyFill="1" applyBorder="1" applyAlignment="1" applyProtection="1">
      <alignment horizontal="left" vertical="top" wrapText="1"/>
      <protection/>
    </xf>
    <xf numFmtId="0" fontId="6" fillId="24" borderId="0" xfId="0" applyFont="1" applyFill="1" applyAlignment="1" applyProtection="1">
      <alignment horizontal="left" vertical="top"/>
      <protection/>
    </xf>
    <xf numFmtId="0" fontId="7" fillId="24" borderId="0" xfId="0" applyFont="1" applyFill="1" applyBorder="1" applyAlignment="1" applyProtection="1">
      <alignment horizontal="left" vertical="top" wrapText="1"/>
      <protection/>
    </xf>
    <xf numFmtId="0" fontId="3" fillId="24" borderId="0" xfId="0" applyNumberFormat="1" applyFont="1" applyFill="1" applyBorder="1" applyAlignment="1" applyProtection="1">
      <alignment horizontal="left" vertical="top"/>
      <protection/>
    </xf>
    <xf numFmtId="0" fontId="0" fillId="24" borderId="95" xfId="0" applyNumberFormat="1" applyFont="1" applyFill="1" applyBorder="1" applyAlignment="1" applyProtection="1">
      <alignment horizontal="left" vertical="top" wrapText="1"/>
      <protection/>
    </xf>
    <xf numFmtId="0" fontId="0" fillId="24" borderId="0" xfId="0" applyNumberFormat="1" applyFont="1" applyFill="1" applyBorder="1" applyAlignment="1" applyProtection="1">
      <alignment horizontal="left" vertical="top" wrapText="1"/>
      <protection/>
    </xf>
    <xf numFmtId="0" fontId="7" fillId="24" borderId="0" xfId="0" applyNumberFormat="1" applyFont="1" applyFill="1" applyBorder="1" applyAlignment="1" applyProtection="1">
      <alignment horizontal="left" vertical="top" wrapText="1"/>
      <protection/>
    </xf>
    <xf numFmtId="0" fontId="54" fillId="24" borderId="0" xfId="0" applyNumberFormat="1" applyFont="1" applyFill="1" applyBorder="1" applyAlignment="1" applyProtection="1">
      <alignment horizontal="left" vertical="top" wrapText="1"/>
      <protection/>
    </xf>
    <xf numFmtId="0" fontId="54" fillId="24" borderId="0" xfId="0" applyFont="1" applyFill="1" applyBorder="1" applyAlignment="1" applyProtection="1">
      <alignment horizontal="left" vertical="top" wrapText="1"/>
      <protection/>
    </xf>
    <xf numFmtId="0" fontId="32" fillId="24" borderId="0" xfId="0" applyNumberFormat="1" applyFont="1" applyFill="1" applyBorder="1" applyAlignment="1" applyProtection="1">
      <alignment horizontal="left" vertical="top" wrapText="1"/>
      <protection/>
    </xf>
    <xf numFmtId="0" fontId="28" fillId="24" borderId="0" xfId="0" applyFont="1" applyFill="1" applyBorder="1" applyAlignment="1" applyProtection="1">
      <alignment horizontal="left" vertical="top"/>
      <protection/>
    </xf>
    <xf numFmtId="0" fontId="7" fillId="24" borderId="97" xfId="0" applyFont="1" applyFill="1" applyBorder="1" applyAlignment="1" applyProtection="1">
      <alignment horizontal="left" vertical="top" wrapText="1"/>
      <protection/>
    </xf>
    <xf numFmtId="0" fontId="7" fillId="24" borderId="88" xfId="0" applyFont="1" applyFill="1" applyBorder="1" applyAlignment="1" applyProtection="1">
      <alignment horizontal="left" vertical="top"/>
      <protection/>
    </xf>
    <xf numFmtId="0" fontId="7" fillId="24" borderId="88" xfId="0" applyFont="1" applyFill="1" applyBorder="1" applyAlignment="1" applyProtection="1">
      <alignment horizontal="left" vertical="top" wrapText="1"/>
      <protection/>
    </xf>
    <xf numFmtId="0" fontId="30" fillId="21" borderId="64" xfId="62" applyFont="1" applyFill="1" applyBorder="1" applyAlignment="1" applyProtection="1">
      <alignment horizontal="left" vertical="center" wrapText="1"/>
      <protection/>
    </xf>
    <xf numFmtId="0" fontId="0" fillId="27" borderId="0" xfId="0" applyFill="1" applyAlignment="1" applyProtection="1">
      <alignment/>
      <protection/>
    </xf>
    <xf numFmtId="0" fontId="37" fillId="24" borderId="0" xfId="0" applyNumberFormat="1" applyFont="1" applyFill="1" applyBorder="1" applyAlignment="1" applyProtection="1">
      <alignment vertical="top"/>
      <protection/>
    </xf>
    <xf numFmtId="0" fontId="2" fillId="26" borderId="0" xfId="0" applyFont="1" applyFill="1" applyBorder="1" applyAlignment="1" applyProtection="1">
      <alignment horizontal="left" vertical="center"/>
      <protection/>
    </xf>
    <xf numFmtId="0" fontId="37" fillId="24" borderId="0" xfId="0" applyNumberFormat="1" applyFont="1" applyFill="1" applyBorder="1" applyAlignment="1" applyProtection="1">
      <alignment/>
      <protection/>
    </xf>
    <xf numFmtId="0" fontId="37" fillId="0" borderId="0" xfId="0" applyNumberFormat="1" applyFont="1" applyFill="1" applyBorder="1" applyAlignment="1" applyProtection="1">
      <alignment vertical="top"/>
      <protection/>
    </xf>
    <xf numFmtId="0" fontId="0" fillId="2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24" borderId="0" xfId="0" applyFont="1" applyFill="1" applyAlignment="1" applyProtection="1">
      <alignment/>
      <protection/>
    </xf>
    <xf numFmtId="0" fontId="0" fillId="24" borderId="0" xfId="0" applyNumberFormat="1" applyFont="1" applyFill="1" applyBorder="1" applyAlignment="1" applyProtection="1">
      <alignment horizontal="right" vertical="top"/>
      <protection/>
    </xf>
    <xf numFmtId="0" fontId="23" fillId="0" borderId="0" xfId="72" applyFont="1" applyProtection="1">
      <alignment/>
      <protection/>
    </xf>
    <xf numFmtId="0" fontId="37" fillId="24" borderId="0" xfId="0" applyFont="1" applyFill="1" applyAlignment="1" applyProtection="1">
      <alignment/>
      <protection/>
    </xf>
    <xf numFmtId="0" fontId="0" fillId="24" borderId="0" xfId="0" applyFill="1" applyAlignment="1" applyProtection="1">
      <alignment horizontal="left"/>
      <protection/>
    </xf>
    <xf numFmtId="0" fontId="0" fillId="28" borderId="11" xfId="0" applyNumberFormat="1" applyFont="1" applyFill="1" applyBorder="1" applyAlignment="1" applyProtection="1">
      <alignment horizontal="center" vertical="top"/>
      <protection locked="0"/>
    </xf>
    <xf numFmtId="0" fontId="0" fillId="24" borderId="10" xfId="0" applyFill="1" applyBorder="1" applyAlignment="1" applyProtection="1">
      <alignment/>
      <protection/>
    </xf>
    <xf numFmtId="0" fontId="37" fillId="0" borderId="0" xfId="0" applyFont="1" applyAlignment="1" applyProtection="1">
      <alignment wrapText="1"/>
      <protection/>
    </xf>
    <xf numFmtId="0" fontId="37" fillId="0" borderId="0" xfId="0" applyFont="1" applyAlignment="1" applyProtection="1">
      <alignment/>
      <protection/>
    </xf>
    <xf numFmtId="0" fontId="0" fillId="25" borderId="0" xfId="0" applyNumberFormat="1" applyFont="1" applyFill="1" applyBorder="1" applyAlignment="1" applyProtection="1">
      <alignment horizontal="center" vertical="top"/>
      <protection/>
    </xf>
    <xf numFmtId="0" fontId="0" fillId="25" borderId="0" xfId="0" applyFont="1" applyFill="1" applyAlignment="1" applyProtection="1">
      <alignment/>
      <protection/>
    </xf>
    <xf numFmtId="0" fontId="3" fillId="24" borderId="0" xfId="0" applyFont="1" applyFill="1" applyAlignment="1" applyProtection="1">
      <alignment vertical="center"/>
      <protection/>
    </xf>
    <xf numFmtId="0" fontId="2" fillId="26" borderId="0" xfId="0" applyFont="1" applyFill="1" applyBorder="1" applyAlignment="1" applyProtection="1">
      <alignment vertical="center"/>
      <protection/>
    </xf>
    <xf numFmtId="0" fontId="0" fillId="24" borderId="0" xfId="0" applyNumberFormat="1" applyFont="1" applyFill="1" applyBorder="1" applyAlignment="1" applyProtection="1">
      <alignment vertical="center"/>
      <protection/>
    </xf>
    <xf numFmtId="0" fontId="0" fillId="6" borderId="0" xfId="0" applyNumberFormat="1" applyFont="1" applyFill="1" applyBorder="1" applyAlignment="1" applyProtection="1">
      <alignment vertical="top"/>
      <protection/>
    </xf>
    <xf numFmtId="0" fontId="0" fillId="24" borderId="0" xfId="0" applyFill="1" applyBorder="1" applyAlignment="1" applyProtection="1">
      <alignment vertical="center"/>
      <protection/>
    </xf>
    <xf numFmtId="0" fontId="0" fillId="24" borderId="0" xfId="0" applyFont="1" applyFill="1" applyBorder="1" applyAlignment="1" applyProtection="1">
      <alignment horizontal="left" vertical="top" wrapText="1"/>
      <protection/>
    </xf>
    <xf numFmtId="0" fontId="0" fillId="0" borderId="0" xfId="0" applyFont="1" applyAlignment="1" applyProtection="1">
      <alignment/>
      <protection/>
    </xf>
    <xf numFmtId="0" fontId="0" fillId="24" borderId="32" xfId="0" applyNumberFormat="1" applyFont="1" applyFill="1" applyBorder="1" applyAlignment="1" applyProtection="1">
      <alignment horizontal="left" vertical="center"/>
      <protection/>
    </xf>
    <xf numFmtId="0" fontId="28" fillId="24" borderId="0" xfId="0" applyFont="1" applyFill="1" applyAlignment="1" applyProtection="1">
      <alignment horizontal="center" vertical="center"/>
      <protection/>
    </xf>
    <xf numFmtId="0" fontId="37" fillId="24" borderId="0" xfId="0" applyNumberFormat="1" applyFont="1" applyFill="1" applyBorder="1" applyAlignment="1" applyProtection="1">
      <alignment vertical="center"/>
      <protection/>
    </xf>
    <xf numFmtId="0" fontId="0" fillId="24" borderId="0" xfId="0" applyFill="1" applyBorder="1" applyAlignment="1" applyProtection="1">
      <alignment vertical="center" wrapText="1"/>
      <protection/>
    </xf>
    <xf numFmtId="0" fontId="0" fillId="6" borderId="0" xfId="0" applyFont="1" applyFill="1" applyAlignment="1" applyProtection="1">
      <alignment/>
      <protection/>
    </xf>
    <xf numFmtId="0" fontId="0" fillId="6" borderId="98" xfId="0" applyFont="1" applyFill="1" applyBorder="1" applyAlignment="1" applyProtection="1">
      <alignment horizontal="center" vertical="top"/>
      <protection/>
    </xf>
    <xf numFmtId="0" fontId="0" fillId="6" borderId="37" xfId="0" applyFont="1" applyFill="1" applyBorder="1" applyAlignment="1" applyProtection="1">
      <alignment horizontal="center"/>
      <protection/>
    </xf>
    <xf numFmtId="0" fontId="0" fillId="6" borderId="11" xfId="0" applyNumberFormat="1" applyFont="1" applyFill="1" applyBorder="1" applyAlignment="1" applyProtection="1">
      <alignment horizontal="center" vertical="top"/>
      <protection/>
    </xf>
    <xf numFmtId="0" fontId="0" fillId="6" borderId="11" xfId="0" applyNumberFormat="1" applyFont="1" applyFill="1" applyBorder="1" applyAlignment="1" applyProtection="1">
      <alignment vertical="top"/>
      <protection/>
    </xf>
    <xf numFmtId="180" fontId="3" fillId="24" borderId="0" xfId="0" applyNumberFormat="1" applyFont="1" applyFill="1" applyBorder="1" applyAlignment="1" applyProtection="1">
      <alignment horizontal="left" vertical="top"/>
      <protection/>
    </xf>
    <xf numFmtId="0" fontId="0" fillId="24" borderId="99" xfId="0" applyNumberFormat="1" applyFont="1" applyFill="1" applyBorder="1" applyAlignment="1" applyProtection="1">
      <alignment vertical="top"/>
      <protection/>
    </xf>
    <xf numFmtId="0" fontId="0" fillId="6" borderId="0" xfId="0" applyNumberFormat="1" applyFont="1" applyFill="1" applyBorder="1" applyAlignment="1" applyProtection="1">
      <alignment horizontal="center" vertical="top"/>
      <protection/>
    </xf>
    <xf numFmtId="180" fontId="0" fillId="28" borderId="35" xfId="0" applyNumberFormat="1" applyFont="1" applyFill="1" applyBorder="1" applyAlignment="1" applyProtection="1">
      <alignment vertical="top"/>
      <protection locked="0"/>
    </xf>
    <xf numFmtId="180" fontId="0" fillId="28" borderId="100" xfId="0" applyNumberFormat="1" applyFont="1" applyFill="1" applyBorder="1" applyAlignment="1" applyProtection="1">
      <alignment vertical="top"/>
      <protection locked="0"/>
    </xf>
    <xf numFmtId="0" fontId="3" fillId="24" borderId="95" xfId="0" applyNumberFormat="1" applyFont="1" applyFill="1" applyBorder="1" applyAlignment="1" applyProtection="1">
      <alignment horizontal="center" wrapText="1"/>
      <protection/>
    </xf>
    <xf numFmtId="0" fontId="0" fillId="6" borderId="101" xfId="0" applyNumberFormat="1" applyFont="1" applyFill="1" applyBorder="1" applyAlignment="1" applyProtection="1">
      <alignment vertical="top"/>
      <protection/>
    </xf>
    <xf numFmtId="0" fontId="0" fillId="6" borderId="102" xfId="0" applyNumberFormat="1" applyFont="1" applyFill="1" applyBorder="1" applyAlignment="1" applyProtection="1">
      <alignment vertical="top"/>
      <protection/>
    </xf>
    <xf numFmtId="0" fontId="0" fillId="6" borderId="103" xfId="0" applyNumberFormat="1" applyFont="1" applyFill="1" applyBorder="1" applyAlignment="1" applyProtection="1">
      <alignment vertical="top"/>
      <protection/>
    </xf>
    <xf numFmtId="0" fontId="0" fillId="6" borderId="101" xfId="0" applyNumberFormat="1" applyFont="1" applyFill="1" applyBorder="1" applyAlignment="1" applyProtection="1">
      <alignment horizontal="center" vertical="top"/>
      <protection/>
    </xf>
    <xf numFmtId="0" fontId="0" fillId="6" borderId="102" xfId="0" applyNumberFormat="1" applyFont="1" applyFill="1" applyBorder="1" applyAlignment="1" applyProtection="1">
      <alignment horizontal="center" vertical="top"/>
      <protection/>
    </xf>
    <xf numFmtId="0" fontId="0" fillId="6" borderId="103" xfId="0" applyNumberFormat="1" applyFont="1" applyFill="1" applyBorder="1" applyAlignment="1" applyProtection="1">
      <alignment horizontal="center" vertical="top"/>
      <protection/>
    </xf>
    <xf numFmtId="0" fontId="0" fillId="6" borderId="0" xfId="0" applyNumberFormat="1" applyFont="1" applyFill="1" applyBorder="1" applyAlignment="1" applyProtection="1">
      <alignment horizontal="left" vertical="top"/>
      <protection/>
    </xf>
    <xf numFmtId="0" fontId="0" fillId="0" borderId="104" xfId="0" applyNumberFormat="1" applyFont="1" applyFill="1" applyBorder="1" applyAlignment="1" applyProtection="1">
      <alignment vertical="top"/>
      <protection/>
    </xf>
    <xf numFmtId="0" fontId="0" fillId="0" borderId="105" xfId="0" applyNumberFormat="1" applyFont="1" applyFill="1" applyBorder="1" applyAlignment="1" applyProtection="1">
      <alignment vertical="top"/>
      <protection/>
    </xf>
    <xf numFmtId="0" fontId="0" fillId="0" borderId="105" xfId="0" applyNumberFormat="1" applyFont="1" applyFill="1" applyBorder="1" applyAlignment="1" applyProtection="1">
      <alignment horizontal="center" vertical="top"/>
      <protection/>
    </xf>
    <xf numFmtId="0" fontId="0" fillId="0" borderId="106" xfId="0" applyNumberFormat="1" applyFont="1" applyFill="1" applyBorder="1" applyAlignment="1" applyProtection="1">
      <alignment horizontal="center" vertical="top"/>
      <protection/>
    </xf>
    <xf numFmtId="2" fontId="0" fillId="25" borderId="0" xfId="0" applyNumberFormat="1" applyFont="1" applyFill="1" applyBorder="1" applyAlignment="1" applyProtection="1">
      <alignment vertical="top"/>
      <protection/>
    </xf>
    <xf numFmtId="0" fontId="0" fillId="0" borderId="0" xfId="0" applyFont="1" applyBorder="1" applyAlignment="1" applyProtection="1">
      <alignment/>
      <protection/>
    </xf>
    <xf numFmtId="2" fontId="3" fillId="24" borderId="0" xfId="0" applyNumberFormat="1" applyFont="1" applyFill="1" applyBorder="1" applyAlignment="1" applyProtection="1">
      <alignment horizontal="left" vertical="top"/>
      <protection/>
    </xf>
    <xf numFmtId="0" fontId="0" fillId="25" borderId="0" xfId="0" applyFont="1" applyFill="1" applyAlignment="1" applyProtection="1">
      <alignment vertical="center"/>
      <protection/>
    </xf>
    <xf numFmtId="0" fontId="0" fillId="0" borderId="0" xfId="0" applyNumberFormat="1" applyFont="1" applyFill="1" applyBorder="1" applyAlignment="1" applyProtection="1">
      <alignment vertical="top"/>
      <protection/>
    </xf>
    <xf numFmtId="0" fontId="0" fillId="20" borderId="0" xfId="0" applyFont="1" applyFill="1" applyBorder="1" applyAlignment="1" applyProtection="1">
      <alignment horizontal="left" vertical="top" wrapText="1"/>
      <protection/>
    </xf>
    <xf numFmtId="0" fontId="0" fillId="6" borderId="0" xfId="0" applyFont="1" applyFill="1" applyBorder="1" applyAlignment="1" applyProtection="1">
      <alignment horizontal="center"/>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0" fillId="25" borderId="0" xfId="0" applyNumberFormat="1" applyFont="1" applyFill="1" applyBorder="1" applyAlignment="1" applyProtection="1">
      <alignment horizontal="left" vertical="top"/>
      <protection/>
    </xf>
    <xf numFmtId="0" fontId="0" fillId="24" borderId="99" xfId="0" applyNumberFormat="1" applyFont="1" applyFill="1" applyBorder="1" applyAlignment="1" applyProtection="1">
      <alignment horizontal="left" vertical="center" wrapText="1"/>
      <protection/>
    </xf>
    <xf numFmtId="0" fontId="0" fillId="24" borderId="99" xfId="0" applyNumberFormat="1" applyFont="1" applyFill="1" applyBorder="1" applyAlignment="1" applyProtection="1">
      <alignment horizontal="center" vertical="top"/>
      <protection/>
    </xf>
    <xf numFmtId="0" fontId="0" fillId="25" borderId="0" xfId="0" applyNumberFormat="1" applyFont="1" applyFill="1" applyBorder="1" applyAlignment="1" applyProtection="1">
      <alignment vertical="center"/>
      <protection/>
    </xf>
    <xf numFmtId="0" fontId="0" fillId="24" borderId="0" xfId="0" applyFill="1" applyAlignment="1" applyProtection="1">
      <alignment wrapText="1"/>
      <protection/>
    </xf>
    <xf numFmtId="180" fontId="0" fillId="28" borderId="107" xfId="0" applyNumberFormat="1" applyFont="1" applyFill="1" applyBorder="1" applyAlignment="1" applyProtection="1">
      <alignment vertical="top"/>
      <protection locked="0"/>
    </xf>
    <xf numFmtId="14" fontId="3" fillId="24" borderId="99" xfId="0" applyNumberFormat="1" applyFont="1" applyFill="1" applyBorder="1" applyAlignment="1" applyProtection="1">
      <alignment horizontal="center" vertical="top"/>
      <protection/>
    </xf>
    <xf numFmtId="0" fontId="0" fillId="4" borderId="74" xfId="0" applyFont="1" applyFill="1" applyBorder="1" applyAlignment="1" applyProtection="1">
      <alignment/>
      <protection/>
    </xf>
    <xf numFmtId="0" fontId="31" fillId="4" borderId="92" xfId="0" applyNumberFormat="1" applyFont="1" applyFill="1" applyBorder="1" applyAlignment="1" applyProtection="1">
      <alignment vertical="top"/>
      <protection/>
    </xf>
    <xf numFmtId="0" fontId="0" fillId="24" borderId="0" xfId="0" applyFont="1" applyFill="1" applyAlignment="1" applyProtection="1">
      <alignment/>
      <protection/>
    </xf>
    <xf numFmtId="0" fontId="37" fillId="24" borderId="0" xfId="0" applyFont="1" applyFill="1" applyAlignment="1" applyProtection="1">
      <alignment/>
      <protection/>
    </xf>
    <xf numFmtId="0" fontId="0" fillId="24" borderId="13" xfId="0" applyFont="1" applyFill="1" applyBorder="1" applyAlignment="1" applyProtection="1">
      <alignment horizontal="right" vertical="top" indent="1"/>
      <protection/>
    </xf>
    <xf numFmtId="0" fontId="0" fillId="24" borderId="14" xfId="0" applyFont="1" applyFill="1" applyBorder="1" applyAlignment="1" applyProtection="1">
      <alignment horizontal="right" vertical="top" indent="1"/>
      <protection/>
    </xf>
    <xf numFmtId="0" fontId="0" fillId="24" borderId="15" xfId="0" applyFont="1" applyFill="1" applyBorder="1" applyAlignment="1" applyProtection="1">
      <alignment horizontal="right" vertical="top" indent="1"/>
      <protection/>
    </xf>
    <xf numFmtId="0" fontId="3" fillId="24" borderId="92" xfId="0" applyNumberFormat="1" applyFont="1" applyFill="1" applyBorder="1" applyAlignment="1" applyProtection="1">
      <alignment horizontal="left" wrapText="1"/>
      <protection/>
    </xf>
    <xf numFmtId="0" fontId="39" fillId="24" borderId="10" xfId="0" applyNumberFormat="1" applyFont="1" applyFill="1" applyBorder="1" applyAlignment="1" applyProtection="1">
      <alignment horizontal="left" vertical="top" wrapText="1"/>
      <protection/>
    </xf>
    <xf numFmtId="0" fontId="0" fillId="24" borderId="95" xfId="0" applyNumberFormat="1" applyFont="1" applyFill="1" applyBorder="1" applyAlignment="1" applyProtection="1">
      <alignment horizontal="left" vertical="top"/>
      <protection/>
    </xf>
    <xf numFmtId="14" fontId="0" fillId="24" borderId="78" xfId="0" applyNumberFormat="1" applyFont="1" applyFill="1" applyBorder="1" applyAlignment="1" applyProtection="1">
      <alignment horizontal="left" vertical="top"/>
      <protection/>
    </xf>
    <xf numFmtId="0" fontId="32" fillId="24" borderId="0" xfId="0" applyFont="1" applyFill="1" applyAlignment="1" applyProtection="1">
      <alignment horizontal="left" vertical="top"/>
      <protection/>
    </xf>
    <xf numFmtId="0" fontId="28" fillId="24" borderId="0" xfId="0" applyFont="1" applyFill="1" applyAlignment="1" applyProtection="1">
      <alignment horizontal="left" vertical="top"/>
      <protection/>
    </xf>
    <xf numFmtId="0" fontId="3" fillId="24" borderId="0" xfId="0" applyFont="1" applyFill="1" applyAlignment="1" applyProtection="1">
      <alignment horizontal="left" vertical="center"/>
      <protection/>
    </xf>
    <xf numFmtId="0" fontId="0" fillId="24" borderId="78" xfId="0" applyNumberFormat="1" applyFont="1" applyFill="1" applyBorder="1" applyAlignment="1" applyProtection="1">
      <alignment horizontal="left" vertical="top"/>
      <protection/>
    </xf>
    <xf numFmtId="0" fontId="0" fillId="24" borderId="32" xfId="0" applyNumberFormat="1" applyFont="1" applyFill="1" applyBorder="1" applyAlignment="1" applyProtection="1">
      <alignment horizontal="left" vertical="top"/>
      <protection/>
    </xf>
    <xf numFmtId="0" fontId="0" fillId="24" borderId="64" xfId="0" applyNumberFormat="1" applyFont="1" applyFill="1" applyBorder="1" applyAlignment="1" applyProtection="1">
      <alignment horizontal="left" vertical="top"/>
      <protection/>
    </xf>
    <xf numFmtId="0" fontId="56" fillId="24" borderId="0" xfId="0" applyFont="1" applyFill="1" applyBorder="1" applyAlignment="1" applyProtection="1">
      <alignment horizontal="left" wrapText="1"/>
      <protection/>
    </xf>
    <xf numFmtId="0" fontId="5" fillId="21" borderId="74" xfId="62" applyFill="1" applyBorder="1" applyAlignment="1" applyProtection="1">
      <alignment horizontal="left"/>
      <protection/>
    </xf>
    <xf numFmtId="0" fontId="28" fillId="24" borderId="0" xfId="0" applyFont="1" applyFill="1" applyBorder="1" applyAlignment="1" applyProtection="1">
      <alignment horizontal="left" vertical="top" wrapText="1"/>
      <protection/>
    </xf>
    <xf numFmtId="0" fontId="32" fillId="24" borderId="0" xfId="0" applyFont="1" applyFill="1" applyBorder="1" applyAlignment="1" applyProtection="1">
      <alignment horizontal="left" vertical="top" wrapText="1"/>
      <protection/>
    </xf>
    <xf numFmtId="0" fontId="3" fillId="24" borderId="0" xfId="0" applyFont="1" applyFill="1" applyAlignment="1" applyProtection="1">
      <alignment horizontal="left"/>
      <protection/>
    </xf>
    <xf numFmtId="0" fontId="3" fillId="24" borderId="95" xfId="0" applyFont="1" applyFill="1" applyBorder="1" applyAlignment="1" applyProtection="1">
      <alignment horizontal="left" wrapText="1"/>
      <protection/>
    </xf>
    <xf numFmtId="0" fontId="2" fillId="26" borderId="0" xfId="0" applyFont="1" applyFill="1" applyBorder="1" applyAlignment="1" applyProtection="1">
      <alignment horizontal="left" vertical="center" wrapText="1"/>
      <protection/>
    </xf>
    <xf numFmtId="0" fontId="3" fillId="24" borderId="37"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0" fontId="3" fillId="24" borderId="79" xfId="0" applyFont="1" applyFill="1" applyBorder="1" applyAlignment="1" applyProtection="1">
      <alignment horizontal="left" wrapText="1"/>
      <protection/>
    </xf>
    <xf numFmtId="0" fontId="3" fillId="24" borderId="41" xfId="0" applyFont="1" applyFill="1" applyBorder="1" applyAlignment="1" applyProtection="1">
      <alignment horizontal="left" wrapText="1"/>
      <protection/>
    </xf>
    <xf numFmtId="0" fontId="0" fillId="24" borderId="87" xfId="0" applyNumberFormat="1" applyFont="1" applyFill="1" applyBorder="1" applyAlignment="1" applyProtection="1">
      <alignment horizontal="left" vertical="top"/>
      <protection/>
    </xf>
    <xf numFmtId="0" fontId="0" fillId="24" borderId="87" xfId="0" applyNumberFormat="1" applyFont="1" applyFill="1" applyBorder="1" applyAlignment="1" applyProtection="1">
      <alignment horizontal="left" vertical="top"/>
      <protection/>
    </xf>
    <xf numFmtId="0" fontId="0" fillId="24" borderId="88" xfId="0" applyNumberFormat="1" applyFont="1" applyFill="1" applyBorder="1" applyAlignment="1" applyProtection="1">
      <alignment horizontal="left" vertical="top"/>
      <protection/>
    </xf>
    <xf numFmtId="0" fontId="0" fillId="24" borderId="89" xfId="0" applyNumberFormat="1" applyFont="1" applyFill="1" applyBorder="1" applyAlignment="1" applyProtection="1">
      <alignment horizontal="left" vertical="top"/>
      <protection/>
    </xf>
    <xf numFmtId="0" fontId="5" fillId="21" borderId="94" xfId="62" applyFont="1" applyFill="1" applyBorder="1" applyAlignment="1" applyProtection="1">
      <alignment horizontal="left" vertical="top" wrapText="1"/>
      <protection/>
    </xf>
    <xf numFmtId="0" fontId="30" fillId="24" borderId="0" xfId="0" applyFont="1" applyFill="1" applyAlignment="1" applyProtection="1">
      <alignment horizontal="left"/>
      <protection/>
    </xf>
    <xf numFmtId="0" fontId="3" fillId="0" borderId="10" xfId="0" applyFont="1" applyBorder="1" applyAlignment="1" applyProtection="1">
      <alignment horizontal="left"/>
      <protection/>
    </xf>
    <xf numFmtId="0" fontId="0" fillId="25" borderId="0" xfId="0" applyFont="1" applyFill="1" applyAlignment="1" applyProtection="1">
      <alignment horizontal="left"/>
      <protection/>
    </xf>
    <xf numFmtId="0" fontId="0" fillId="25" borderId="0" xfId="0" applyFill="1" applyAlignment="1" applyProtection="1">
      <alignment horizontal="left"/>
      <protection/>
    </xf>
    <xf numFmtId="0" fontId="1" fillId="28" borderId="0" xfId="72" applyFill="1" applyProtection="1">
      <alignment/>
      <protection/>
    </xf>
    <xf numFmtId="0" fontId="1" fillId="0" borderId="11" xfId="72" applyBorder="1" applyAlignment="1" applyProtection="1">
      <alignment horizontal="center" vertical="top"/>
      <protection/>
    </xf>
    <xf numFmtId="0" fontId="1" fillId="28" borderId="0" xfId="72" applyFill="1" applyAlignment="1" applyProtection="1">
      <alignment horizontal="center"/>
      <protection locked="0"/>
    </xf>
    <xf numFmtId="0" fontId="0" fillId="28" borderId="0" xfId="0" applyNumberFormat="1" applyFont="1" applyFill="1" applyBorder="1" applyAlignment="1" applyProtection="1">
      <alignment vertical="top"/>
      <protection locked="0"/>
    </xf>
    <xf numFmtId="0" fontId="1" fillId="28" borderId="0" xfId="72" applyFill="1" applyProtection="1">
      <alignment/>
      <protection locked="0"/>
    </xf>
    <xf numFmtId="0" fontId="1" fillId="11" borderId="11" xfId="72" applyFill="1" applyBorder="1" applyAlignment="1" applyProtection="1">
      <alignment horizontal="center" vertical="top"/>
      <protection/>
    </xf>
    <xf numFmtId="189" fontId="0" fillId="29" borderId="0" xfId="0" applyNumberFormat="1" applyFill="1" applyAlignment="1" applyProtection="1">
      <alignment/>
      <protection/>
    </xf>
    <xf numFmtId="0" fontId="3" fillId="29" borderId="0" xfId="0" applyFont="1" applyFill="1" applyAlignment="1" applyProtection="1">
      <alignment horizontal="right" wrapText="1"/>
      <protection/>
    </xf>
    <xf numFmtId="189" fontId="0" fillId="0" borderId="11" xfId="0" applyNumberFormat="1" applyFill="1" applyBorder="1" applyAlignment="1" applyProtection="1">
      <alignment/>
      <protection/>
    </xf>
    <xf numFmtId="0" fontId="3" fillId="24" borderId="95" xfId="0" applyNumberFormat="1" applyFont="1" applyFill="1" applyBorder="1" applyAlignment="1" applyProtection="1">
      <alignment wrapText="1"/>
      <protection/>
    </xf>
    <xf numFmtId="180" fontId="0" fillId="30" borderId="80" xfId="0" applyNumberFormat="1" applyFont="1" applyFill="1" applyBorder="1" applyAlignment="1" applyProtection="1">
      <alignment vertical="top"/>
      <protection/>
    </xf>
    <xf numFmtId="180" fontId="0" fillId="30" borderId="100" xfId="0" applyNumberFormat="1" applyFont="1" applyFill="1" applyBorder="1" applyAlignment="1" applyProtection="1">
      <alignment vertical="top"/>
      <protection/>
    </xf>
    <xf numFmtId="180" fontId="0" fillId="30" borderId="35" xfId="0" applyNumberFormat="1" applyFont="1" applyFill="1" applyBorder="1" applyAlignment="1" applyProtection="1">
      <alignment vertical="top"/>
      <protection/>
    </xf>
    <xf numFmtId="180" fontId="0" fillId="30" borderId="34" xfId="0" applyNumberFormat="1" applyFont="1" applyFill="1" applyBorder="1" applyAlignment="1" applyProtection="1">
      <alignment vertical="top"/>
      <protection/>
    </xf>
    <xf numFmtId="180" fontId="0" fillId="30" borderId="107" xfId="0" applyNumberFormat="1" applyFont="1" applyFill="1" applyBorder="1" applyAlignment="1" applyProtection="1">
      <alignment vertical="top"/>
      <protection/>
    </xf>
    <xf numFmtId="0" fontId="0" fillId="25" borderId="0" xfId="0" applyNumberFormat="1" applyFont="1" applyFill="1" applyBorder="1" applyAlignment="1" applyProtection="1">
      <alignment wrapText="1"/>
      <protection/>
    </xf>
    <xf numFmtId="0" fontId="0" fillId="24"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wrapText="1"/>
      <protection/>
    </xf>
    <xf numFmtId="0" fontId="37" fillId="24" borderId="0" xfId="0" applyFont="1" applyFill="1" applyAlignment="1" applyProtection="1">
      <alignment wrapText="1"/>
      <protection/>
    </xf>
    <xf numFmtId="0" fontId="3" fillId="24" borderId="0" xfId="0" applyFont="1" applyFill="1" applyAlignment="1" applyProtection="1">
      <alignment wrapText="1"/>
      <protection/>
    </xf>
    <xf numFmtId="0" fontId="31" fillId="4" borderId="108" xfId="0" applyNumberFormat="1" applyFont="1" applyFill="1" applyBorder="1" applyAlignment="1" applyProtection="1">
      <alignment horizontal="center" vertical="top"/>
      <protection/>
    </xf>
    <xf numFmtId="0" fontId="31" fillId="4" borderId="109" xfId="0" applyNumberFormat="1" applyFont="1" applyFill="1" applyBorder="1" applyAlignment="1" applyProtection="1">
      <alignment horizontal="center" vertical="top"/>
      <protection/>
    </xf>
    <xf numFmtId="0" fontId="31" fillId="4" borderId="110" xfId="0" applyNumberFormat="1" applyFont="1" applyFill="1" applyBorder="1" applyAlignment="1" applyProtection="1">
      <alignment horizontal="center" vertical="top"/>
      <protection/>
    </xf>
    <xf numFmtId="0" fontId="31" fillId="4" borderId="111" xfId="0" applyNumberFormat="1" applyFont="1" applyFill="1" applyBorder="1" applyAlignment="1" applyProtection="1">
      <alignment horizontal="center" vertical="top"/>
      <protection/>
    </xf>
    <xf numFmtId="0" fontId="28" fillId="24" borderId="0" xfId="0" applyFont="1" applyFill="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wrapText="1"/>
      <protection/>
    </xf>
    <xf numFmtId="0" fontId="0" fillId="31" borderId="0" xfId="0" applyFont="1" applyFill="1" applyBorder="1" applyAlignment="1" applyProtection="1">
      <alignment vertical="top"/>
      <protection/>
    </xf>
    <xf numFmtId="0" fontId="0" fillId="31" borderId="0" xfId="0" applyFill="1" applyBorder="1" applyAlignment="1" applyProtection="1">
      <alignment vertical="top" wrapText="1"/>
      <protection/>
    </xf>
    <xf numFmtId="0" fontId="0" fillId="31" borderId="19" xfId="0" applyNumberFormat="1" applyFont="1" applyFill="1" applyBorder="1" applyAlignment="1" applyProtection="1">
      <alignment vertical="top"/>
      <protection/>
    </xf>
    <xf numFmtId="0" fontId="37" fillId="24" borderId="19" xfId="0" applyNumberFormat="1" applyFont="1" applyFill="1" applyBorder="1" applyAlignment="1" applyProtection="1">
      <alignment vertical="top"/>
      <protection/>
    </xf>
    <xf numFmtId="0" fontId="0" fillId="24" borderId="19" xfId="0" applyNumberFormat="1" applyFont="1" applyFill="1" applyBorder="1" applyAlignment="1" applyProtection="1">
      <alignment vertical="top"/>
      <protection/>
    </xf>
    <xf numFmtId="0" fontId="0" fillId="24" borderId="0" xfId="0" applyFont="1" applyFill="1" applyAlignment="1" applyProtection="1">
      <alignment wrapText="1"/>
      <protection/>
    </xf>
    <xf numFmtId="14" fontId="0" fillId="28" borderId="11" xfId="0" applyNumberFormat="1" applyFont="1" applyFill="1" applyBorder="1" applyAlignment="1" applyProtection="1">
      <alignment horizontal="center" vertical="top"/>
      <protection locked="0"/>
    </xf>
    <xf numFmtId="0" fontId="0" fillId="24" borderId="112" xfId="0" applyNumberFormat="1" applyFont="1" applyFill="1" applyBorder="1" applyAlignment="1" applyProtection="1">
      <alignment horizontal="center" vertical="top"/>
      <protection/>
    </xf>
    <xf numFmtId="180" fontId="0" fillId="30" borderId="105" xfId="0" applyNumberFormat="1" applyFont="1" applyFill="1" applyBorder="1" applyAlignment="1" applyProtection="1">
      <alignment vertical="top"/>
      <protection/>
    </xf>
    <xf numFmtId="180" fontId="0" fillId="28" borderId="105" xfId="0" applyNumberFormat="1" applyFont="1" applyFill="1" applyBorder="1" applyAlignment="1" applyProtection="1">
      <alignment vertical="top"/>
      <protection locked="0"/>
    </xf>
    <xf numFmtId="0" fontId="3" fillId="24" borderId="39" xfId="0" applyFont="1" applyFill="1" applyBorder="1" applyAlignment="1" applyProtection="1">
      <alignment/>
      <protection/>
    </xf>
    <xf numFmtId="0" fontId="3" fillId="24" borderId="0" xfId="0" applyFont="1" applyFill="1" applyBorder="1" applyAlignment="1" applyProtection="1">
      <alignment/>
      <protection/>
    </xf>
    <xf numFmtId="0" fontId="3" fillId="31" borderId="39" xfId="0" applyNumberFormat="1" applyFont="1" applyFill="1" applyBorder="1" applyAlignment="1" applyProtection="1">
      <alignment horizontal="center" wrapText="1"/>
      <protection/>
    </xf>
    <xf numFmtId="0" fontId="0" fillId="24" borderId="113" xfId="0" applyNumberFormat="1" applyFont="1" applyFill="1" applyBorder="1" applyAlignment="1" applyProtection="1">
      <alignment horizontal="center" vertical="top"/>
      <protection/>
    </xf>
    <xf numFmtId="0" fontId="3" fillId="31" borderId="114" xfId="0" applyNumberFormat="1" applyFont="1" applyFill="1" applyBorder="1" applyAlignment="1" applyProtection="1">
      <alignment horizontal="center" wrapText="1"/>
      <protection/>
    </xf>
    <xf numFmtId="0" fontId="3" fillId="31" borderId="115" xfId="0" applyNumberFormat="1" applyFont="1" applyFill="1" applyBorder="1" applyAlignment="1" applyProtection="1">
      <alignment horizontal="center" wrapText="1"/>
      <protection/>
    </xf>
    <xf numFmtId="0" fontId="3" fillId="31" borderId="95" xfId="0" applyNumberFormat="1" applyFont="1" applyFill="1" applyBorder="1" applyAlignment="1" applyProtection="1">
      <alignment horizontal="center" wrapText="1"/>
      <protection/>
    </xf>
    <xf numFmtId="0" fontId="0" fillId="32" borderId="0" xfId="0" applyNumberFormat="1" applyFont="1" applyFill="1" applyBorder="1" applyAlignment="1" applyProtection="1">
      <alignment vertical="top"/>
      <protection/>
    </xf>
    <xf numFmtId="0" fontId="3" fillId="32" borderId="0" xfId="0" applyNumberFormat="1" applyFont="1" applyFill="1" applyBorder="1" applyAlignment="1" applyProtection="1">
      <alignment horizontal="center" vertical="top"/>
      <protection/>
    </xf>
    <xf numFmtId="0" fontId="3" fillId="32" borderId="37" xfId="0" applyNumberFormat="1" applyFont="1" applyFill="1" applyBorder="1" applyAlignment="1" applyProtection="1">
      <alignment vertical="top"/>
      <protection/>
    </xf>
    <xf numFmtId="195" fontId="0" fillId="32" borderId="105" xfId="70" applyNumberFormat="1" applyFont="1" applyFill="1" applyBorder="1" applyAlignment="1" applyProtection="1">
      <alignment vertical="top"/>
      <protection/>
    </xf>
    <xf numFmtId="180" fontId="0" fillId="32" borderId="80" xfId="0" applyNumberFormat="1" applyFont="1" applyFill="1" applyBorder="1" applyAlignment="1" applyProtection="1">
      <alignment vertical="top"/>
      <protection/>
    </xf>
    <xf numFmtId="195" fontId="0" fillId="32" borderId="100" xfId="70" applyNumberFormat="1" applyFont="1" applyFill="1" applyBorder="1" applyAlignment="1" applyProtection="1">
      <alignment vertical="top"/>
      <protection/>
    </xf>
    <xf numFmtId="180" fontId="0" fillId="32" borderId="100" xfId="0" applyNumberFormat="1" applyFont="1" applyFill="1" applyBorder="1" applyAlignment="1" applyProtection="1">
      <alignment vertical="top"/>
      <protection/>
    </xf>
    <xf numFmtId="195" fontId="0" fillId="32" borderId="35" xfId="70" applyNumberFormat="1" applyFont="1" applyFill="1" applyBorder="1" applyAlignment="1" applyProtection="1">
      <alignment vertical="top"/>
      <protection/>
    </xf>
    <xf numFmtId="180" fontId="0" fillId="32" borderId="35" xfId="0" applyNumberFormat="1" applyFont="1" applyFill="1" applyBorder="1" applyAlignment="1" applyProtection="1">
      <alignment vertical="top"/>
      <protection/>
    </xf>
    <xf numFmtId="195" fontId="0" fillId="32" borderId="34" xfId="70" applyNumberFormat="1" applyFont="1" applyFill="1" applyBorder="1" applyAlignment="1" applyProtection="1">
      <alignment vertical="top"/>
      <protection/>
    </xf>
    <xf numFmtId="180" fontId="0" fillId="32" borderId="34" xfId="0" applyNumberFormat="1" applyFont="1" applyFill="1" applyBorder="1" applyAlignment="1" applyProtection="1">
      <alignment vertical="top"/>
      <protection/>
    </xf>
    <xf numFmtId="195" fontId="0" fillId="32" borderId="107" xfId="70" applyNumberFormat="1" applyFont="1" applyFill="1" applyBorder="1" applyAlignment="1" applyProtection="1">
      <alignment vertical="top"/>
      <protection/>
    </xf>
    <xf numFmtId="180" fontId="0" fillId="32" borderId="107" xfId="0" applyNumberFormat="1" applyFont="1" applyFill="1" applyBorder="1" applyAlignment="1" applyProtection="1">
      <alignment vertical="top"/>
      <protection/>
    </xf>
    <xf numFmtId="195" fontId="0" fillId="32" borderId="105" xfId="70" applyNumberFormat="1" applyFont="1" applyFill="1" applyBorder="1" applyAlignment="1" applyProtection="1">
      <alignment vertical="top"/>
      <protection/>
    </xf>
    <xf numFmtId="180" fontId="0" fillId="32" borderId="105" xfId="0" applyNumberFormat="1" applyFont="1" applyFill="1" applyBorder="1" applyAlignment="1" applyProtection="1">
      <alignment vertical="top"/>
      <protection/>
    </xf>
    <xf numFmtId="0" fontId="3" fillId="32" borderId="79" xfId="0" applyNumberFormat="1" applyFont="1" applyFill="1" applyBorder="1" applyAlignment="1" applyProtection="1">
      <alignment horizontal="center" wrapText="1"/>
      <protection/>
    </xf>
    <xf numFmtId="0" fontId="3" fillId="32" borderId="0" xfId="0" applyNumberFormat="1" applyFont="1" applyFill="1" applyBorder="1" applyAlignment="1" applyProtection="1">
      <alignment horizontal="center" wrapText="1"/>
      <protection/>
    </xf>
    <xf numFmtId="0" fontId="0" fillId="32" borderId="0" xfId="0" applyNumberFormat="1" applyFont="1" applyFill="1" applyBorder="1" applyAlignment="1" applyProtection="1">
      <alignment vertical="top"/>
      <protection/>
    </xf>
    <xf numFmtId="0" fontId="0" fillId="32" borderId="0" xfId="0" applyFont="1" applyFill="1" applyAlignment="1" applyProtection="1">
      <alignment/>
      <protection/>
    </xf>
    <xf numFmtId="0" fontId="0" fillId="32" borderId="98" xfId="0" applyFont="1" applyFill="1" applyBorder="1" applyAlignment="1" applyProtection="1">
      <alignment horizontal="center" vertical="top" wrapText="1"/>
      <protection/>
    </xf>
    <xf numFmtId="0" fontId="0" fillId="32" borderId="11" xfId="0" applyNumberFormat="1" applyFont="1" applyFill="1" applyBorder="1" applyAlignment="1" applyProtection="1">
      <alignment vertical="top"/>
      <protection/>
    </xf>
    <xf numFmtId="0" fontId="3" fillId="32" borderId="77" xfId="0" applyNumberFormat="1" applyFont="1" applyFill="1" applyBorder="1" applyAlignment="1" applyProtection="1">
      <alignment horizontal="center" vertical="center"/>
      <protection/>
    </xf>
    <xf numFmtId="0" fontId="0" fillId="32" borderId="11" xfId="0" applyNumberFormat="1" applyFont="1" applyFill="1" applyBorder="1" applyAlignment="1" applyProtection="1">
      <alignment vertical="center"/>
      <protection/>
    </xf>
    <xf numFmtId="0" fontId="0" fillId="32" borderId="0" xfId="0" applyNumberFormat="1" applyFont="1" applyFill="1" applyBorder="1" applyAlignment="1" applyProtection="1">
      <alignment vertical="center"/>
      <protection/>
    </xf>
    <xf numFmtId="0" fontId="0" fillId="32" borderId="11" xfId="0" applyNumberFormat="1" applyFont="1" applyFill="1" applyBorder="1" applyAlignment="1" applyProtection="1">
      <alignment horizontal="center" vertical="top"/>
      <protection/>
    </xf>
    <xf numFmtId="0" fontId="0" fillId="32" borderId="0" xfId="0" applyNumberFormat="1" applyFont="1" applyFill="1" applyBorder="1" applyAlignment="1" applyProtection="1">
      <alignment horizontal="center"/>
      <protection/>
    </xf>
    <xf numFmtId="0" fontId="0" fillId="32" borderId="11" xfId="0" applyNumberFormat="1" applyFont="1" applyFill="1" applyBorder="1" applyAlignment="1" applyProtection="1">
      <alignment vertical="top"/>
      <protection/>
    </xf>
    <xf numFmtId="0" fontId="3" fillId="32" borderId="0" xfId="0" applyNumberFormat="1" applyFont="1" applyFill="1" applyBorder="1" applyAlignment="1" applyProtection="1">
      <alignment horizontal="center"/>
      <protection/>
    </xf>
    <xf numFmtId="0" fontId="3" fillId="32" borderId="0" xfId="0" applyNumberFormat="1" applyFont="1" applyFill="1" applyBorder="1" applyAlignment="1" applyProtection="1">
      <alignment vertical="top"/>
      <protection/>
    </xf>
    <xf numFmtId="0" fontId="0" fillId="32" borderId="11" xfId="0" applyFont="1" applyFill="1" applyBorder="1" applyAlignment="1" applyProtection="1">
      <alignment/>
      <protection/>
    </xf>
    <xf numFmtId="0" fontId="0" fillId="32" borderId="101" xfId="0" applyNumberFormat="1" applyFont="1" applyFill="1" applyBorder="1" applyAlignment="1" applyProtection="1">
      <alignment horizontal="center" vertical="top"/>
      <protection/>
    </xf>
    <xf numFmtId="0" fontId="0" fillId="32" borderId="102" xfId="0" applyNumberFormat="1" applyFont="1" applyFill="1" applyBorder="1" applyAlignment="1" applyProtection="1">
      <alignment horizontal="center" vertical="top"/>
      <protection/>
    </xf>
    <xf numFmtId="0" fontId="0" fillId="32" borderId="103" xfId="0" applyNumberFormat="1" applyFont="1" applyFill="1" applyBorder="1" applyAlignment="1" applyProtection="1">
      <alignment horizontal="center" vertical="top"/>
      <protection/>
    </xf>
    <xf numFmtId="0" fontId="0" fillId="32" borderId="0" xfId="0" applyFont="1" applyFill="1" applyAlignment="1" applyProtection="1">
      <alignment wrapText="1"/>
      <protection/>
    </xf>
    <xf numFmtId="0" fontId="0" fillId="32" borderId="0" xfId="0" applyNumberFormat="1" applyFont="1" applyFill="1" applyBorder="1" applyAlignment="1" applyProtection="1">
      <alignment wrapText="1"/>
      <protection/>
    </xf>
    <xf numFmtId="0" fontId="0" fillId="32" borderId="37" xfId="0" applyFont="1" applyFill="1" applyBorder="1" applyAlignment="1" applyProtection="1">
      <alignment horizontal="center"/>
      <protection/>
    </xf>
    <xf numFmtId="0" fontId="3" fillId="32" borderId="77" xfId="0" applyFont="1" applyFill="1" applyBorder="1" applyAlignment="1" applyProtection="1">
      <alignment horizontal="center" vertical="center"/>
      <protection/>
    </xf>
    <xf numFmtId="0" fontId="3" fillId="32" borderId="37" xfId="0" applyNumberFormat="1" applyFont="1" applyFill="1" applyBorder="1" applyAlignment="1" applyProtection="1">
      <alignment horizontal="center" wrapText="1"/>
      <protection/>
    </xf>
    <xf numFmtId="0" fontId="0" fillId="32" borderId="11" xfId="0" applyFont="1" applyFill="1" applyBorder="1" applyAlignment="1" applyProtection="1">
      <alignment horizontal="center"/>
      <protection/>
    </xf>
    <xf numFmtId="195" fontId="0" fillId="28" borderId="104" xfId="0" applyNumberFormat="1" applyFont="1" applyFill="1" applyBorder="1" applyAlignment="1" applyProtection="1">
      <alignment vertical="center"/>
      <protection locked="0"/>
    </xf>
    <xf numFmtId="0" fontId="0" fillId="24" borderId="112" xfId="0" applyFill="1" applyBorder="1" applyAlignment="1" applyProtection="1">
      <alignment vertical="center"/>
      <protection/>
    </xf>
    <xf numFmtId="0" fontId="0" fillId="24" borderId="106" xfId="0" applyFill="1" applyBorder="1" applyAlignment="1" applyProtection="1">
      <alignment vertical="center"/>
      <protection/>
    </xf>
    <xf numFmtId="195" fontId="0" fillId="30" borderId="104" xfId="0" applyNumberFormat="1" applyFont="1" applyFill="1" applyBorder="1" applyAlignment="1" applyProtection="1">
      <alignment vertical="center"/>
      <protection/>
    </xf>
    <xf numFmtId="0" fontId="0" fillId="24" borderId="105" xfId="0" applyFill="1" applyBorder="1" applyAlignment="1" applyProtection="1">
      <alignment vertical="center"/>
      <protection/>
    </xf>
    <xf numFmtId="0" fontId="0" fillId="24" borderId="116" xfId="0" applyFill="1" applyBorder="1" applyAlignment="1" applyProtection="1">
      <alignment vertical="center"/>
      <protection/>
    </xf>
    <xf numFmtId="180" fontId="59" fillId="30" borderId="105" xfId="0" applyNumberFormat="1" applyFont="1" applyFill="1" applyBorder="1" applyAlignment="1" applyProtection="1">
      <alignment horizontal="center" vertical="center"/>
      <protection/>
    </xf>
    <xf numFmtId="195" fontId="0" fillId="28" borderId="117" xfId="0" applyNumberFormat="1" applyFont="1" applyFill="1" applyBorder="1" applyAlignment="1" applyProtection="1">
      <alignment vertical="center"/>
      <protection locked="0"/>
    </xf>
    <xf numFmtId="195" fontId="0" fillId="30" borderId="117" xfId="0" applyNumberFormat="1" applyFont="1" applyFill="1" applyBorder="1" applyAlignment="1" applyProtection="1">
      <alignment vertical="center"/>
      <protection/>
    </xf>
    <xf numFmtId="180" fontId="59" fillId="30" borderId="100" xfId="0" applyNumberFormat="1" applyFont="1" applyFill="1" applyBorder="1" applyAlignment="1" applyProtection="1">
      <alignment horizontal="center" vertical="center"/>
      <protection/>
    </xf>
    <xf numFmtId="195" fontId="0" fillId="28" borderId="118" xfId="0" applyNumberFormat="1" applyFont="1" applyFill="1" applyBorder="1" applyAlignment="1" applyProtection="1">
      <alignment vertical="center"/>
      <protection locked="0"/>
    </xf>
    <xf numFmtId="195" fontId="0" fillId="30" borderId="118" xfId="0" applyNumberFormat="1" applyFont="1" applyFill="1" applyBorder="1" applyAlignment="1" applyProtection="1">
      <alignment vertical="center"/>
      <protection/>
    </xf>
    <xf numFmtId="180" fontId="59" fillId="30" borderId="35" xfId="0" applyNumberFormat="1" applyFont="1" applyFill="1" applyBorder="1" applyAlignment="1" applyProtection="1">
      <alignment horizontal="center" vertical="center"/>
      <protection/>
    </xf>
    <xf numFmtId="195" fontId="0" fillId="28" borderId="119" xfId="0" applyNumberFormat="1" applyFont="1" applyFill="1" applyBorder="1" applyAlignment="1" applyProtection="1">
      <alignment vertical="center"/>
      <protection locked="0"/>
    </xf>
    <xf numFmtId="195" fontId="0" fillId="30" borderId="119" xfId="0" applyNumberFormat="1" applyFont="1" applyFill="1" applyBorder="1" applyAlignment="1" applyProtection="1">
      <alignment vertical="center"/>
      <protection/>
    </xf>
    <xf numFmtId="180" fontId="59" fillId="30" borderId="34" xfId="0" applyNumberFormat="1" applyFont="1" applyFill="1" applyBorder="1" applyAlignment="1" applyProtection="1">
      <alignment horizontal="center" vertical="center"/>
      <protection/>
    </xf>
    <xf numFmtId="195" fontId="0" fillId="28" borderId="120" xfId="0" applyNumberFormat="1" applyFont="1" applyFill="1" applyBorder="1" applyAlignment="1" applyProtection="1">
      <alignment vertical="center"/>
      <protection locked="0"/>
    </xf>
    <xf numFmtId="195" fontId="0" fillId="30" borderId="120" xfId="0" applyNumberFormat="1" applyFont="1" applyFill="1" applyBorder="1" applyAlignment="1" applyProtection="1">
      <alignment vertical="center"/>
      <protection/>
    </xf>
    <xf numFmtId="180" fontId="59" fillId="30" borderId="107" xfId="0" applyNumberFormat="1" applyFont="1" applyFill="1" applyBorder="1" applyAlignment="1" applyProtection="1">
      <alignment horizontal="center" vertical="center"/>
      <protection/>
    </xf>
    <xf numFmtId="0" fontId="0" fillId="24" borderId="20" xfId="0" applyFill="1" applyBorder="1" applyAlignment="1" applyProtection="1">
      <alignment vertical="center"/>
      <protection/>
    </xf>
    <xf numFmtId="0" fontId="60" fillId="24" borderId="0" xfId="0" applyFont="1" applyFill="1" applyAlignment="1" applyProtection="1">
      <alignment/>
      <protection/>
    </xf>
    <xf numFmtId="0" fontId="0" fillId="22" borderId="0" xfId="0" applyFont="1" applyFill="1" applyAlignment="1" applyProtection="1">
      <alignment/>
      <protection/>
    </xf>
    <xf numFmtId="0" fontId="0" fillId="22" borderId="0" xfId="0" applyFont="1" applyFill="1" applyBorder="1" applyAlignment="1" applyProtection="1">
      <alignment/>
      <protection/>
    </xf>
    <xf numFmtId="0" fontId="0" fillId="4" borderId="121" xfId="0" applyFont="1" applyFill="1" applyBorder="1" applyAlignment="1" applyProtection="1">
      <alignment/>
      <protection/>
    </xf>
    <xf numFmtId="3" fontId="0" fillId="30" borderId="36" xfId="0" applyNumberFormat="1" applyFont="1" applyFill="1" applyBorder="1" applyAlignment="1" applyProtection="1">
      <alignment horizontal="center" vertical="top"/>
      <protection/>
    </xf>
    <xf numFmtId="3" fontId="0" fillId="30" borderId="35" xfId="0" applyNumberFormat="1" applyFont="1" applyFill="1" applyBorder="1" applyAlignment="1" applyProtection="1">
      <alignment horizontal="center" vertical="top"/>
      <protection/>
    </xf>
    <xf numFmtId="3" fontId="0" fillId="30" borderId="34" xfId="0" applyNumberFormat="1" applyFont="1" applyFill="1" applyBorder="1" applyAlignment="1" applyProtection="1">
      <alignment horizontal="center" vertical="top"/>
      <protection/>
    </xf>
    <xf numFmtId="3" fontId="0" fillId="30" borderId="100" xfId="0" applyNumberFormat="1" applyFont="1" applyFill="1" applyBorder="1" applyAlignment="1" applyProtection="1">
      <alignment horizontal="center" vertical="center"/>
      <protection/>
    </xf>
    <xf numFmtId="3" fontId="0" fillId="30" borderId="35" xfId="0" applyNumberFormat="1" applyFont="1" applyFill="1" applyBorder="1" applyAlignment="1" applyProtection="1">
      <alignment horizontal="center" vertical="center"/>
      <protection/>
    </xf>
    <xf numFmtId="3" fontId="0" fillId="30" borderId="107" xfId="0" applyNumberFormat="1" applyFont="1" applyFill="1" applyBorder="1" applyAlignment="1" applyProtection="1">
      <alignment horizontal="center" vertical="center"/>
      <protection/>
    </xf>
    <xf numFmtId="3" fontId="0" fillId="30" borderId="36" xfId="0" applyNumberFormat="1" applyFont="1" applyFill="1" applyBorder="1" applyAlignment="1" applyProtection="1">
      <alignment horizontal="center" vertical="center"/>
      <protection/>
    </xf>
    <xf numFmtId="3" fontId="0" fillId="30" borderId="34" xfId="0" applyNumberFormat="1" applyFont="1" applyFill="1" applyBorder="1" applyAlignment="1" applyProtection="1">
      <alignment horizontal="center" vertical="center"/>
      <protection/>
    </xf>
    <xf numFmtId="0" fontId="0" fillId="32" borderId="0" xfId="0" applyFont="1" applyFill="1" applyAlignment="1" applyProtection="1">
      <alignment vertical="center"/>
      <protection/>
    </xf>
    <xf numFmtId="49" fontId="3" fillId="24" borderId="0" xfId="0" applyNumberFormat="1" applyFont="1" applyFill="1" applyBorder="1" applyAlignment="1" applyProtection="1">
      <alignment horizontal="center" vertical="top"/>
      <protection/>
    </xf>
    <xf numFmtId="0" fontId="0" fillId="32" borderId="11" xfId="0" applyNumberFormat="1" applyFont="1" applyFill="1" applyBorder="1" applyAlignment="1" applyProtection="1">
      <alignment horizontal="center" vertical="center"/>
      <protection/>
    </xf>
    <xf numFmtId="49" fontId="0" fillId="6" borderId="11" xfId="0" applyNumberFormat="1" applyFont="1" applyFill="1" applyBorder="1" applyAlignment="1" applyProtection="1">
      <alignment vertical="top"/>
      <protection/>
    </xf>
    <xf numFmtId="0" fontId="0" fillId="24" borderId="0" xfId="0" applyNumberFormat="1" applyFont="1" applyFill="1" applyBorder="1" applyAlignment="1" applyProtection="1">
      <alignment horizontal="right" vertical="top" indent="1"/>
      <protection/>
    </xf>
    <xf numFmtId="14" fontId="0" fillId="4" borderId="11" xfId="0" applyNumberFormat="1" applyFont="1" applyFill="1" applyBorder="1" applyAlignment="1" applyProtection="1">
      <alignment horizontal="center" vertical="top" wrapText="1"/>
      <protection/>
    </xf>
    <xf numFmtId="0" fontId="0" fillId="32" borderId="78" xfId="0" applyFont="1" applyFill="1" applyBorder="1" applyAlignment="1" applyProtection="1">
      <alignment/>
      <protection/>
    </xf>
    <xf numFmtId="0" fontId="0" fillId="32" borderId="101" xfId="0" applyFont="1" applyFill="1" applyBorder="1" applyAlignment="1" applyProtection="1">
      <alignment/>
      <protection/>
    </xf>
    <xf numFmtId="0" fontId="0" fillId="32" borderId="103" xfId="0" applyFont="1" applyFill="1" applyBorder="1" applyAlignment="1" applyProtection="1">
      <alignment/>
      <protection/>
    </xf>
    <xf numFmtId="0" fontId="0" fillId="32" borderId="0" xfId="0" applyNumberFormat="1" applyFont="1" applyFill="1" applyBorder="1" applyAlignment="1" applyProtection="1">
      <alignment vertical="center"/>
      <protection/>
    </xf>
    <xf numFmtId="0" fontId="0" fillId="32" borderId="0" xfId="0" applyFill="1" applyBorder="1" applyAlignment="1" applyProtection="1">
      <alignment/>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5" fillId="32" borderId="0" xfId="62" applyFill="1" applyBorder="1" applyAlignment="1" applyProtection="1">
      <alignment/>
      <protection/>
    </xf>
    <xf numFmtId="0" fontId="61" fillId="31" borderId="0" xfId="62" applyFont="1" applyFill="1" applyBorder="1" applyAlignment="1" applyProtection="1">
      <alignment horizontal="center" vertical="top"/>
      <protection/>
    </xf>
    <xf numFmtId="0" fontId="62" fillId="31" borderId="0" xfId="0" applyFont="1" applyFill="1" applyBorder="1" applyAlignment="1" applyProtection="1">
      <alignment horizontal="center" vertical="top"/>
      <protection/>
    </xf>
    <xf numFmtId="0" fontId="5" fillId="31" borderId="0" xfId="62" applyFill="1" applyBorder="1" applyAlignment="1" applyProtection="1">
      <alignment horizontal="center" vertical="top"/>
      <protection/>
    </xf>
    <xf numFmtId="0" fontId="0" fillId="31" borderId="0" xfId="0" applyFill="1" applyBorder="1" applyAlignment="1" applyProtection="1">
      <alignment vertical="top"/>
      <protection/>
    </xf>
    <xf numFmtId="0" fontId="40" fillId="24" borderId="0" xfId="0" applyNumberFormat="1" applyFont="1" applyFill="1" applyAlignment="1" applyProtection="1">
      <alignment horizontal="right" vertical="top" wrapText="1"/>
      <protection/>
    </xf>
    <xf numFmtId="0" fontId="61" fillId="31" borderId="0" xfId="0" applyFont="1" applyFill="1" applyAlignment="1" applyProtection="1">
      <alignment horizontal="center"/>
      <protection/>
    </xf>
    <xf numFmtId="0" fontId="0" fillId="32" borderId="11" xfId="0" applyNumberFormat="1" applyFont="1" applyFill="1" applyBorder="1" applyAlignment="1" applyProtection="1">
      <alignment horizontal="center" vertical="top"/>
      <protection/>
    </xf>
    <xf numFmtId="0" fontId="0" fillId="32" borderId="0" xfId="0" applyFill="1" applyAlignment="1" applyProtection="1">
      <alignment/>
      <protection/>
    </xf>
    <xf numFmtId="180" fontId="0" fillId="33" borderId="80" xfId="0" applyNumberFormat="1" applyFont="1" applyFill="1" applyBorder="1" applyAlignment="1" applyProtection="1">
      <alignment vertical="top"/>
      <protection locked="0"/>
    </xf>
    <xf numFmtId="0" fontId="0" fillId="23" borderId="0" xfId="0" applyNumberFormat="1" applyFont="1" applyFill="1" applyBorder="1" applyAlignment="1" applyProtection="1">
      <alignment vertical="top"/>
      <protection/>
    </xf>
    <xf numFmtId="189" fontId="0" fillId="0" borderId="0" xfId="0" applyNumberFormat="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vertical="top"/>
      <protection/>
    </xf>
    <xf numFmtId="0" fontId="0" fillId="31" borderId="0" xfId="0" applyFont="1" applyFill="1" applyAlignment="1" applyProtection="1">
      <alignment/>
      <protection/>
    </xf>
    <xf numFmtId="0" fontId="0" fillId="31" borderId="0" xfId="0" applyFill="1" applyBorder="1" applyAlignment="1" applyProtection="1">
      <alignment/>
      <protection/>
    </xf>
    <xf numFmtId="0" fontId="0" fillId="31" borderId="0" xfId="0" applyFill="1" applyBorder="1" applyAlignment="1" applyProtection="1">
      <alignment/>
      <protection/>
    </xf>
    <xf numFmtId="0" fontId="0" fillId="31" borderId="0" xfId="0" applyNumberFormat="1" applyFont="1" applyFill="1" applyBorder="1" applyAlignment="1" applyProtection="1">
      <alignment vertical="top"/>
      <protection/>
    </xf>
    <xf numFmtId="0" fontId="0" fillId="31" borderId="0" xfId="0" applyFill="1" applyAlignment="1" applyProtection="1">
      <alignment/>
      <protection/>
    </xf>
    <xf numFmtId="0" fontId="0" fillId="31" borderId="0" xfId="0" applyNumberFormat="1" applyFont="1" applyFill="1" applyBorder="1" applyAlignment="1" applyProtection="1">
      <alignment vertical="center"/>
      <protection/>
    </xf>
    <xf numFmtId="0" fontId="0" fillId="31" borderId="0" xfId="0" applyNumberFormat="1" applyFont="1" applyFill="1" applyBorder="1" applyAlignment="1" applyProtection="1">
      <alignment vertical="center"/>
      <protection/>
    </xf>
    <xf numFmtId="0" fontId="0" fillId="31" borderId="0" xfId="0" applyNumberFormat="1" applyFont="1" applyFill="1" applyBorder="1" applyAlignment="1" applyProtection="1">
      <alignment wrapText="1"/>
      <protection/>
    </xf>
    <xf numFmtId="0" fontId="37" fillId="31" borderId="0" xfId="0" applyNumberFormat="1" applyFont="1" applyFill="1" applyBorder="1" applyAlignment="1" applyProtection="1">
      <alignment vertical="top"/>
      <protection/>
    </xf>
    <xf numFmtId="0" fontId="0" fillId="31" borderId="0" xfId="0" applyNumberFormat="1" applyFont="1" applyFill="1" applyBorder="1" applyAlignment="1" applyProtection="1">
      <alignment vertical="top"/>
      <protection/>
    </xf>
    <xf numFmtId="0" fontId="0" fillId="31" borderId="0" xfId="0" applyFont="1" applyFill="1" applyAlignment="1" applyProtection="1">
      <alignment/>
      <protection/>
    </xf>
    <xf numFmtId="0" fontId="59" fillId="31" borderId="0" xfId="0" applyFont="1" applyFill="1" applyAlignment="1" applyProtection="1">
      <alignment/>
      <protection/>
    </xf>
    <xf numFmtId="3" fontId="0" fillId="33" borderId="36" xfId="0" applyNumberFormat="1" applyFont="1" applyFill="1" applyBorder="1" applyAlignment="1" applyProtection="1">
      <alignment horizontal="center" vertical="top"/>
      <protection locked="0"/>
    </xf>
    <xf numFmtId="3" fontId="0" fillId="33" borderId="35" xfId="0" applyNumberFormat="1" applyFont="1" applyFill="1" applyBorder="1" applyAlignment="1" applyProtection="1">
      <alignment horizontal="center" vertical="top"/>
      <protection locked="0"/>
    </xf>
    <xf numFmtId="3" fontId="0" fillId="33" borderId="34" xfId="0" applyNumberFormat="1" applyFont="1" applyFill="1" applyBorder="1" applyAlignment="1" applyProtection="1">
      <alignment horizontal="center" vertical="top"/>
      <protection locked="0"/>
    </xf>
    <xf numFmtId="0" fontId="0" fillId="31" borderId="0" xfId="0" applyFill="1" applyAlignment="1" applyProtection="1">
      <alignment/>
      <protection/>
    </xf>
    <xf numFmtId="0" fontId="3" fillId="31" borderId="0" xfId="0" applyFont="1" applyFill="1" applyBorder="1" applyAlignment="1" applyProtection="1">
      <alignment vertical="top" wrapText="1"/>
      <protection/>
    </xf>
    <xf numFmtId="0" fontId="7" fillId="31" borderId="0" xfId="0" applyFont="1" applyFill="1" applyBorder="1" applyAlignment="1" applyProtection="1">
      <alignment vertical="top" wrapText="1"/>
      <protection/>
    </xf>
    <xf numFmtId="0" fontId="3" fillId="31" borderId="95" xfId="0" applyNumberFormat="1" applyFont="1" applyFill="1" applyBorder="1" applyAlignment="1" applyProtection="1">
      <alignment wrapText="1"/>
      <protection/>
    </xf>
    <xf numFmtId="0" fontId="48" fillId="24" borderId="0" xfId="0" applyNumberFormat="1" applyFont="1" applyFill="1" applyAlignment="1" applyProtection="1">
      <alignment horizontal="left" vertical="top" wrapText="1"/>
      <protection/>
    </xf>
    <xf numFmtId="0" fontId="3" fillId="24" borderId="87" xfId="0" applyFont="1" applyFill="1" applyBorder="1" applyAlignment="1" applyProtection="1">
      <alignment horizontal="left" vertical="top" wrapText="1"/>
      <protection/>
    </xf>
    <xf numFmtId="0" fontId="3" fillId="24" borderId="89" xfId="0" applyFont="1" applyFill="1" applyBorder="1" applyAlignment="1" applyProtection="1">
      <alignment horizontal="left" vertical="top" wrapText="1"/>
      <protection/>
    </xf>
    <xf numFmtId="0" fontId="3" fillId="24" borderId="32" xfId="0" applyFont="1" applyFill="1" applyBorder="1" applyAlignment="1" applyProtection="1">
      <alignment horizontal="left" vertical="top" wrapText="1"/>
      <protection/>
    </xf>
    <xf numFmtId="0" fontId="3" fillId="31" borderId="0" xfId="62" applyFont="1" applyFill="1" applyBorder="1" applyAlignment="1" applyProtection="1">
      <alignment vertical="top"/>
      <protection/>
    </xf>
    <xf numFmtId="0" fontId="3" fillId="31" borderId="0" xfId="0" applyFont="1" applyFill="1" applyBorder="1" applyAlignment="1" applyProtection="1">
      <alignment vertical="top"/>
      <protection/>
    </xf>
    <xf numFmtId="0" fontId="5" fillId="31" borderId="0" xfId="62" applyFill="1" applyAlignment="1" applyProtection="1">
      <alignment/>
      <protection/>
    </xf>
    <xf numFmtId="0" fontId="0" fillId="31" borderId="0" xfId="0" applyFill="1" applyAlignment="1" applyProtection="1">
      <alignment/>
      <protection/>
    </xf>
    <xf numFmtId="0" fontId="0" fillId="24" borderId="12" xfId="0" applyFill="1" applyBorder="1" applyAlignment="1" applyProtection="1">
      <alignment horizontal="center" vertical="top" wrapText="1"/>
      <protection/>
    </xf>
    <xf numFmtId="0" fontId="0" fillId="0" borderId="12" xfId="0" applyBorder="1" applyAlignment="1" applyProtection="1">
      <alignment vertical="top" wrapText="1"/>
      <protection/>
    </xf>
    <xf numFmtId="0" fontId="3" fillId="31" borderId="0" xfId="0" applyFont="1" applyFill="1" applyBorder="1" applyAlignment="1" applyProtection="1">
      <alignment vertical="top" wrapText="1"/>
      <protection/>
    </xf>
    <xf numFmtId="0" fontId="0" fillId="24" borderId="0" xfId="0" applyFont="1" applyFill="1" applyBorder="1" applyAlignment="1" applyProtection="1">
      <alignment vertical="top" wrapText="1"/>
      <protection/>
    </xf>
    <xf numFmtId="0" fontId="30" fillId="21" borderId="40" xfId="62" applyFont="1" applyFill="1" applyBorder="1" applyAlignment="1" applyProtection="1">
      <alignment horizontal="center" vertical="top" wrapText="1"/>
      <protection/>
    </xf>
    <xf numFmtId="0" fontId="30" fillId="21" borderId="16" xfId="62" applyFont="1" applyFill="1" applyBorder="1" applyAlignment="1" applyProtection="1">
      <alignment horizontal="center" vertical="top" wrapText="1"/>
      <protection/>
    </xf>
    <xf numFmtId="0" fontId="30" fillId="0" borderId="17" xfId="62" applyFont="1" applyBorder="1" applyAlignment="1" applyProtection="1">
      <alignment horizontal="center" vertical="top" wrapText="1"/>
      <protection/>
    </xf>
    <xf numFmtId="0" fontId="30" fillId="21" borderId="39" xfId="62" applyFont="1" applyFill="1" applyBorder="1" applyAlignment="1" applyProtection="1">
      <alignment horizontal="center" vertical="top" wrapText="1"/>
      <protection/>
    </xf>
    <xf numFmtId="0" fontId="30" fillId="21" borderId="0" xfId="62" applyFont="1" applyFill="1" applyBorder="1" applyAlignment="1" applyProtection="1">
      <alignment horizontal="center" vertical="top" wrapText="1"/>
      <protection/>
    </xf>
    <xf numFmtId="0" fontId="30" fillId="0" borderId="19" xfId="62" applyFont="1" applyBorder="1" applyAlignment="1" applyProtection="1">
      <alignment horizontal="center" vertical="top" wrapText="1"/>
      <protection/>
    </xf>
    <xf numFmtId="0" fontId="3" fillId="31" borderId="0" xfId="62" applyFont="1" applyFill="1" applyBorder="1" applyAlignment="1" applyProtection="1">
      <alignment vertical="top" wrapText="1"/>
      <protection/>
    </xf>
    <xf numFmtId="0" fontId="56" fillId="24" borderId="0" xfId="0" applyFont="1" applyFill="1" applyBorder="1" applyAlignment="1" applyProtection="1">
      <alignment wrapText="1"/>
      <protection/>
    </xf>
    <xf numFmtId="0" fontId="0" fillId="0" borderId="0" xfId="0" applyFont="1" applyAlignment="1" applyProtection="1">
      <alignment wrapText="1"/>
      <protection/>
    </xf>
    <xf numFmtId="0" fontId="0" fillId="21" borderId="0" xfId="0" applyFill="1" applyBorder="1" applyAlignment="1" applyProtection="1">
      <alignment horizontal="center" vertical="top" wrapText="1"/>
      <protection/>
    </xf>
    <xf numFmtId="0" fontId="0" fillId="21" borderId="122" xfId="0" applyFill="1" applyBorder="1" applyAlignment="1" applyProtection="1">
      <alignment horizontal="center" vertical="center" wrapText="1"/>
      <protection/>
    </xf>
    <xf numFmtId="0" fontId="0" fillId="0" borderId="123"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30" fillId="21" borderId="77" xfId="62" applyFont="1" applyFill="1" applyBorder="1" applyAlignment="1" applyProtection="1">
      <alignment horizontal="center" vertical="top" wrapText="1"/>
      <protection/>
    </xf>
    <xf numFmtId="0" fontId="0" fillId="21" borderId="39" xfId="0" applyFill="1" applyBorder="1" applyAlignment="1" applyProtection="1">
      <alignment horizontal="center" vertical="top" wrapText="1"/>
      <protection/>
    </xf>
    <xf numFmtId="0" fontId="0" fillId="32" borderId="64" xfId="0" applyNumberFormat="1" applyFont="1" applyFill="1" applyBorder="1" applyAlignment="1" applyProtection="1">
      <alignment horizontal="center" vertical="top"/>
      <protection/>
    </xf>
    <xf numFmtId="0" fontId="0" fillId="32" borderId="124" xfId="0" applyNumberFormat="1" applyFont="1" applyFill="1" applyBorder="1" applyAlignment="1" applyProtection="1">
      <alignment horizontal="center" vertical="top"/>
      <protection/>
    </xf>
    <xf numFmtId="0" fontId="0" fillId="32" borderId="90" xfId="0" applyNumberFormat="1" applyFont="1" applyFill="1" applyBorder="1" applyAlignment="1" applyProtection="1">
      <alignment horizontal="center" vertical="top"/>
      <protection/>
    </xf>
    <xf numFmtId="0" fontId="0" fillId="32" borderId="66" xfId="0" applyNumberFormat="1" applyFont="1" applyFill="1" applyBorder="1" applyAlignment="1" applyProtection="1">
      <alignment horizontal="center" vertical="top"/>
      <protection/>
    </xf>
    <xf numFmtId="0" fontId="61" fillId="31" borderId="0" xfId="0" applyFont="1" applyFill="1" applyAlignment="1" applyProtection="1">
      <alignment/>
      <protection/>
    </xf>
    <xf numFmtId="0" fontId="30" fillId="0" borderId="77" xfId="62" applyFont="1" applyBorder="1" applyAlignment="1" applyProtection="1">
      <alignment horizontal="center" vertical="top" wrapText="1"/>
      <protection/>
    </xf>
    <xf numFmtId="0" fontId="0" fillId="21" borderId="40" xfId="0" applyFill="1" applyBorder="1" applyAlignment="1" applyProtection="1">
      <alignment horizontal="center" vertical="top" wrapText="1"/>
      <protection/>
    </xf>
    <xf numFmtId="0" fontId="0" fillId="21" borderId="16" xfId="0" applyFill="1" applyBorder="1" applyAlignment="1" applyProtection="1">
      <alignment horizontal="center" vertical="top" wrapText="1"/>
      <protection/>
    </xf>
    <xf numFmtId="0" fontId="40" fillId="24" borderId="0" xfId="0" applyNumberFormat="1" applyFont="1" applyFill="1" applyAlignment="1" applyProtection="1">
      <alignment horizontal="left" vertical="top" wrapText="1"/>
      <protection/>
    </xf>
    <xf numFmtId="0" fontId="50" fillId="24" borderId="0" xfId="0" applyFont="1" applyFill="1" applyAlignment="1" applyProtection="1">
      <alignment vertical="top" wrapText="1"/>
      <protection/>
    </xf>
    <xf numFmtId="0" fontId="50" fillId="24" borderId="0" xfId="0" applyFont="1" applyFill="1" applyBorder="1" applyAlignment="1" applyProtection="1">
      <alignment vertical="top" wrapText="1"/>
      <protection/>
    </xf>
    <xf numFmtId="0" fontId="30" fillId="21" borderId="66" xfId="62" applyFont="1" applyFill="1" applyBorder="1" applyAlignment="1" applyProtection="1">
      <alignment horizontal="center" vertical="top" wrapText="1"/>
      <protection/>
    </xf>
    <xf numFmtId="0" fontId="5" fillId="21" borderId="82" xfId="62" applyFill="1" applyBorder="1" applyAlignment="1" applyProtection="1">
      <alignment horizontal="center" vertical="top" wrapText="1"/>
      <protection/>
    </xf>
    <xf numFmtId="0" fontId="5" fillId="21" borderId="125" xfId="62" applyFill="1" applyBorder="1" applyAlignment="1" applyProtection="1">
      <alignment horizontal="center" vertical="top" wrapText="1"/>
      <protection/>
    </xf>
    <xf numFmtId="0" fontId="6" fillId="24" borderId="0" xfId="0" applyFont="1" applyFill="1" applyAlignment="1" applyProtection="1">
      <alignment vertical="top" wrapText="1"/>
      <protection/>
    </xf>
    <xf numFmtId="0" fontId="0" fillId="24" borderId="0" xfId="0" applyFill="1" applyAlignment="1" applyProtection="1">
      <alignment horizontal="left" vertical="top" wrapText="1"/>
      <protection/>
    </xf>
    <xf numFmtId="0" fontId="2" fillId="26" borderId="0" xfId="0" applyFont="1" applyFill="1" applyBorder="1" applyAlignment="1" applyProtection="1">
      <alignmen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5" fillId="24" borderId="0" xfId="62" applyFill="1" applyAlignment="1" applyProtection="1">
      <alignment horizontal="left" vertical="top"/>
      <protection/>
    </xf>
    <xf numFmtId="0" fontId="5" fillId="0" borderId="0" xfId="62" applyAlignment="1" applyProtection="1">
      <alignment horizontal="left" vertical="top"/>
      <protection/>
    </xf>
    <xf numFmtId="0" fontId="48" fillId="24" borderId="0" xfId="0" applyNumberFormat="1"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0" fillId="34" borderId="78" xfId="0" applyFill="1" applyBorder="1" applyAlignment="1" applyProtection="1">
      <alignment vertical="top" wrapText="1"/>
      <protection/>
    </xf>
    <xf numFmtId="0" fontId="0" fillId="0" borderId="30" xfId="0" applyBorder="1" applyAlignment="1" applyProtection="1">
      <alignment vertical="top" wrapText="1"/>
      <protection/>
    </xf>
    <xf numFmtId="0" fontId="40" fillId="24" borderId="86" xfId="0" applyNumberFormat="1" applyFont="1" applyFill="1" applyBorder="1" applyAlignment="1" applyProtection="1">
      <alignment horizontal="left" vertical="top" wrapText="1"/>
      <protection/>
    </xf>
    <xf numFmtId="0" fontId="40" fillId="24" borderId="12" xfId="0" applyNumberFormat="1" applyFont="1" applyFill="1" applyBorder="1" applyAlignment="1" applyProtection="1">
      <alignment horizontal="left" vertical="top" wrapText="1"/>
      <protection/>
    </xf>
    <xf numFmtId="0" fontId="40" fillId="24" borderId="95" xfId="0" applyNumberFormat="1" applyFont="1" applyFill="1" applyBorder="1" applyAlignment="1" applyProtection="1">
      <alignment horizontal="left" vertical="top" wrapText="1"/>
      <protection/>
    </xf>
    <xf numFmtId="0" fontId="40" fillId="24" borderId="10" xfId="0" applyNumberFormat="1" applyFont="1" applyFill="1" applyBorder="1" applyAlignment="1" applyProtection="1">
      <alignment horizontal="left" vertical="top" wrapText="1"/>
      <protection/>
    </xf>
    <xf numFmtId="0" fontId="40" fillId="24" borderId="78" xfId="0" applyNumberFormat="1" applyFont="1" applyFill="1" applyBorder="1" applyAlignment="1" applyProtection="1">
      <alignment horizontal="left" vertical="top" wrapText="1"/>
      <protection/>
    </xf>
    <xf numFmtId="0" fontId="0" fillId="0" borderId="32" xfId="0" applyBorder="1" applyAlignment="1" applyProtection="1">
      <alignment horizontal="left" vertical="top" wrapText="1"/>
      <protection/>
    </xf>
    <xf numFmtId="180" fontId="0" fillId="23" borderId="78" xfId="0" applyNumberFormat="1" applyFill="1" applyBorder="1" applyAlignment="1" applyProtection="1">
      <alignment vertical="top" wrapText="1"/>
      <protection locked="0"/>
    </xf>
    <xf numFmtId="0" fontId="0" fillId="0" borderId="30" xfId="0" applyBorder="1" applyAlignment="1" applyProtection="1">
      <alignment vertical="top" wrapText="1"/>
      <protection locked="0"/>
    </xf>
    <xf numFmtId="180" fontId="0" fillId="4" borderId="78" xfId="0" applyNumberFormat="1" applyFill="1" applyBorder="1" applyAlignment="1" applyProtection="1">
      <alignment vertical="top" wrapText="1"/>
      <protection/>
    </xf>
    <xf numFmtId="0" fontId="0" fillId="20" borderId="0" xfId="0" applyFill="1" applyAlignment="1" applyProtection="1">
      <alignment horizontal="left" vertical="top" wrapText="1"/>
      <protection/>
    </xf>
    <xf numFmtId="0" fontId="0" fillId="24" borderId="0" xfId="0" applyFill="1" applyAlignment="1" applyProtection="1">
      <alignment vertical="top" wrapText="1"/>
      <protection/>
    </xf>
    <xf numFmtId="0" fontId="57" fillId="25" borderId="0" xfId="0" applyNumberFormat="1" applyFont="1" applyFill="1" applyAlignment="1" applyProtection="1">
      <alignment horizontal="left" vertical="top" wrapText="1"/>
      <protection/>
    </xf>
    <xf numFmtId="0" fontId="27" fillId="25" borderId="0" xfId="0" applyFont="1" applyFill="1" applyAlignment="1" applyProtection="1">
      <alignment horizontal="left" vertical="top" wrapText="1"/>
      <protection/>
    </xf>
    <xf numFmtId="0" fontId="0" fillId="0" borderId="0" xfId="0" applyAlignment="1" applyProtection="1">
      <alignment vertical="top" wrapText="1"/>
      <protection/>
    </xf>
    <xf numFmtId="0" fontId="3" fillId="24" borderId="0" xfId="0" applyFont="1" applyFill="1" applyAlignment="1" applyProtection="1">
      <alignment vertical="top" wrapText="1"/>
      <protection/>
    </xf>
    <xf numFmtId="0" fontId="7" fillId="24" borderId="10" xfId="0" applyFont="1" applyFill="1" applyBorder="1" applyAlignment="1" applyProtection="1">
      <alignment vertical="top" wrapText="1"/>
      <protection/>
    </xf>
    <xf numFmtId="0" fontId="0" fillId="0" borderId="10" xfId="0" applyBorder="1" applyAlignment="1" applyProtection="1">
      <alignment vertical="top" wrapText="1"/>
      <protection/>
    </xf>
    <xf numFmtId="0" fontId="0" fillId="28" borderId="78" xfId="0" applyFill="1" applyBorder="1" applyAlignment="1" applyProtection="1">
      <alignment vertical="top" wrapText="1"/>
      <protection locked="0"/>
    </xf>
    <xf numFmtId="0" fontId="3" fillId="10" borderId="64" xfId="0" applyNumberFormat="1" applyFont="1" applyFill="1" applyBorder="1" applyAlignment="1" applyProtection="1">
      <alignment horizontal="left" vertical="center" wrapText="1"/>
      <protection/>
    </xf>
    <xf numFmtId="0" fontId="3" fillId="10" borderId="65" xfId="0" applyFont="1" applyFill="1" applyBorder="1" applyAlignment="1" applyProtection="1">
      <alignment horizontal="left" vertical="center" wrapText="1"/>
      <protection/>
    </xf>
    <xf numFmtId="0" fontId="3" fillId="10" borderId="66" xfId="0" applyFont="1" applyFill="1" applyBorder="1" applyAlignment="1" applyProtection="1">
      <alignment horizontal="left" vertical="center" wrapText="1"/>
      <protection/>
    </xf>
    <xf numFmtId="0" fontId="30" fillId="21" borderId="59" xfId="62" applyFont="1" applyFill="1" applyBorder="1" applyAlignment="1" applyProtection="1">
      <alignment horizontal="center" vertical="top" wrapText="1"/>
      <protection/>
    </xf>
    <xf numFmtId="0" fontId="27" fillId="24" borderId="0" xfId="0" applyFont="1" applyFill="1" applyAlignment="1" applyProtection="1">
      <alignment horizontal="left" vertical="top" wrapText="1"/>
      <protection/>
    </xf>
    <xf numFmtId="0" fontId="5" fillId="21" borderId="126" xfId="62" applyFill="1" applyBorder="1" applyAlignment="1" applyProtection="1">
      <alignment horizontal="center" vertical="top" wrapText="1"/>
      <protection/>
    </xf>
    <xf numFmtId="0" fontId="50" fillId="24" borderId="92" xfId="0" applyFont="1" applyFill="1" applyBorder="1" applyAlignment="1" applyProtection="1">
      <alignment vertical="top" wrapText="1"/>
      <protection/>
    </xf>
    <xf numFmtId="0" fontId="27" fillId="24" borderId="0" xfId="0" applyFont="1" applyFill="1" applyAlignment="1" applyProtection="1">
      <alignment vertical="top" wrapText="1"/>
      <protection/>
    </xf>
    <xf numFmtId="0" fontId="0" fillId="20" borderId="12" xfId="0" applyFill="1" applyBorder="1" applyAlignment="1" applyProtection="1">
      <alignment vertical="top" wrapText="1"/>
      <protection/>
    </xf>
    <xf numFmtId="0" fontId="0" fillId="21" borderId="0" xfId="0" applyFill="1" applyAlignment="1" applyProtection="1">
      <alignment vertical="top" wrapText="1"/>
      <protection/>
    </xf>
    <xf numFmtId="0" fontId="51" fillId="24" borderId="0" xfId="0" applyFont="1" applyFill="1" applyAlignment="1" applyProtection="1">
      <alignment vertical="top" wrapText="1"/>
      <protection/>
    </xf>
    <xf numFmtId="0" fontId="5" fillId="21" borderId="127" xfId="62" applyFill="1" applyBorder="1" applyAlignment="1" applyProtection="1">
      <alignment horizontal="center" vertical="top" wrapText="1"/>
      <protection/>
    </xf>
    <xf numFmtId="0" fontId="5" fillId="21" borderId="128" xfId="62" applyFill="1" applyBorder="1" applyAlignment="1" applyProtection="1">
      <alignment horizontal="center" vertical="top" wrapText="1"/>
      <protection/>
    </xf>
    <xf numFmtId="0" fontId="5" fillId="21" borderId="74" xfId="62" applyFill="1" applyBorder="1" applyAlignment="1" applyProtection="1">
      <alignment horizontal="center" vertical="top" wrapText="1"/>
      <protection/>
    </xf>
    <xf numFmtId="0" fontId="5" fillId="24" borderId="0" xfId="62" applyFill="1" applyAlignment="1" applyProtection="1">
      <alignment vertical="top" wrapText="1"/>
      <protection/>
    </xf>
    <xf numFmtId="0" fontId="5" fillId="0" borderId="0" xfId="62" applyAlignment="1" applyProtection="1">
      <alignment vertical="top" wrapText="1"/>
      <protection/>
    </xf>
    <xf numFmtId="0" fontId="31" fillId="24" borderId="0" xfId="0" applyNumberFormat="1" applyFont="1" applyFill="1" applyAlignment="1" applyProtection="1">
      <alignment horizontal="left" vertical="top" wrapText="1"/>
      <protection/>
    </xf>
    <xf numFmtId="0" fontId="31" fillId="0" borderId="0" xfId="0" applyFont="1" applyAlignment="1" applyProtection="1">
      <alignment horizontal="left" vertical="top" wrapText="1"/>
      <protection/>
    </xf>
    <xf numFmtId="0" fontId="0" fillId="20" borderId="86" xfId="0" applyFill="1" applyBorder="1" applyAlignment="1" applyProtection="1">
      <alignment horizontal="center" vertical="top" wrapText="1"/>
      <protection/>
    </xf>
    <xf numFmtId="0" fontId="0" fillId="20" borderId="12" xfId="0" applyFill="1" applyBorder="1" applyAlignment="1" applyProtection="1">
      <alignment horizontal="center" vertical="top" wrapText="1"/>
      <protection/>
    </xf>
    <xf numFmtId="0" fontId="0" fillId="20" borderId="129" xfId="0" applyFill="1" applyBorder="1" applyAlignment="1" applyProtection="1">
      <alignment horizontal="center" vertical="top" wrapText="1"/>
      <protection/>
    </xf>
    <xf numFmtId="0" fontId="0" fillId="20" borderId="92"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28" xfId="0" applyFill="1" applyBorder="1" applyAlignment="1" applyProtection="1">
      <alignment horizontal="center" vertical="top" wrapText="1"/>
      <protection/>
    </xf>
    <xf numFmtId="0" fontId="0" fillId="20" borderId="95" xfId="0" applyFill="1" applyBorder="1" applyAlignment="1" applyProtection="1">
      <alignment horizontal="center" vertical="top" wrapText="1"/>
      <protection/>
    </xf>
    <xf numFmtId="0" fontId="0" fillId="20" borderId="10" xfId="0" applyFill="1" applyBorder="1" applyAlignment="1" applyProtection="1">
      <alignment horizontal="center" vertical="top" wrapText="1"/>
      <protection/>
    </xf>
    <xf numFmtId="0" fontId="0" fillId="20" borderId="41" xfId="0" applyFill="1" applyBorder="1" applyAlignment="1" applyProtection="1">
      <alignment horizontal="center" vertical="top" wrapText="1"/>
      <protection/>
    </xf>
    <xf numFmtId="0" fontId="0" fillId="24" borderId="0" xfId="0" applyFont="1" applyFill="1" applyAlignment="1" applyProtection="1">
      <alignment vertical="top" wrapText="1"/>
      <protection/>
    </xf>
    <xf numFmtId="0" fontId="0" fillId="32" borderId="130" xfId="0" applyNumberFormat="1" applyFont="1" applyFill="1" applyBorder="1" applyAlignment="1" applyProtection="1">
      <alignment horizontal="center" vertical="top"/>
      <protection/>
    </xf>
    <xf numFmtId="0" fontId="0" fillId="32" borderId="27" xfId="0" applyNumberFormat="1" applyFont="1" applyFill="1" applyBorder="1" applyAlignment="1" applyProtection="1">
      <alignment horizontal="center" vertical="top"/>
      <protection/>
    </xf>
    <xf numFmtId="0" fontId="0" fillId="32" borderId="131" xfId="0" applyNumberFormat="1" applyFont="1" applyFill="1" applyBorder="1" applyAlignment="1" applyProtection="1">
      <alignment horizontal="center" vertical="top"/>
      <protection/>
    </xf>
    <xf numFmtId="0" fontId="0" fillId="32" borderId="23" xfId="0" applyNumberFormat="1" applyFont="1" applyFill="1" applyBorder="1" applyAlignment="1" applyProtection="1">
      <alignment horizontal="center" vertical="top"/>
      <protection/>
    </xf>
    <xf numFmtId="0" fontId="5" fillId="21" borderId="0" xfId="62" applyFill="1" applyAlignment="1" applyProtection="1">
      <alignment horizontal="left" vertical="top" wrapText="1"/>
      <protection/>
    </xf>
    <xf numFmtId="0" fontId="0" fillId="21" borderId="0" xfId="0" applyFill="1" applyAlignment="1" applyProtection="1">
      <alignment horizontal="left" vertical="top" wrapText="1"/>
      <protection/>
    </xf>
    <xf numFmtId="0" fontId="0" fillId="32" borderId="132" xfId="0" applyNumberFormat="1" applyFont="1" applyFill="1" applyBorder="1" applyAlignment="1" applyProtection="1">
      <alignment horizontal="center" vertical="top"/>
      <protection/>
    </xf>
    <xf numFmtId="0" fontId="0" fillId="32" borderId="113" xfId="0" applyNumberFormat="1" applyFont="1" applyFill="1" applyBorder="1" applyAlignment="1" applyProtection="1">
      <alignment horizontal="center" vertical="top"/>
      <protection/>
    </xf>
    <xf numFmtId="0" fontId="0" fillId="32" borderId="116" xfId="0" applyNumberFormat="1" applyFont="1" applyFill="1" applyBorder="1" applyAlignment="1" applyProtection="1">
      <alignment horizontal="center" vertical="top"/>
      <protection/>
    </xf>
    <xf numFmtId="0" fontId="0" fillId="32" borderId="133" xfId="0" applyNumberFormat="1" applyFont="1" applyFill="1" applyBorder="1" applyAlignment="1" applyProtection="1">
      <alignment horizontal="center" vertical="top"/>
      <protection/>
    </xf>
    <xf numFmtId="0" fontId="0" fillId="28" borderId="78" xfId="0" applyFont="1" applyFill="1" applyBorder="1" applyAlignment="1" applyProtection="1">
      <alignment horizontal="left" vertical="top" wrapText="1"/>
      <protection locked="0"/>
    </xf>
    <xf numFmtId="0" fontId="0" fillId="28" borderId="32" xfId="0" applyFill="1" applyBorder="1" applyAlignment="1" applyProtection="1">
      <alignment horizontal="left" vertical="top" wrapText="1"/>
      <protection locked="0"/>
    </xf>
    <xf numFmtId="0" fontId="0" fillId="28" borderId="30" xfId="0" applyFill="1" applyBorder="1" applyAlignment="1" applyProtection="1">
      <alignment horizontal="left" vertical="top" wrapText="1"/>
      <protection locked="0"/>
    </xf>
    <xf numFmtId="0" fontId="7" fillId="31"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39" fillId="24" borderId="0" xfId="0" applyNumberFormat="1" applyFont="1" applyFill="1" applyBorder="1" applyAlignment="1" applyProtection="1">
      <alignment horizontal="left" vertical="top" wrapText="1"/>
      <protection/>
    </xf>
    <xf numFmtId="0" fontId="0" fillId="28" borderId="78" xfId="0" applyNumberFormat="1" applyFont="1" applyFill="1" applyBorder="1" applyAlignment="1" applyProtection="1">
      <alignment horizontal="left" vertical="top"/>
      <protection locked="0"/>
    </xf>
    <xf numFmtId="0" fontId="0" fillId="28" borderId="32" xfId="0" applyNumberFormat="1" applyFont="1" applyFill="1" applyBorder="1" applyAlignment="1" applyProtection="1">
      <alignment horizontal="left" vertical="top"/>
      <protection locked="0"/>
    </xf>
    <xf numFmtId="0" fontId="0" fillId="28" borderId="30" xfId="0" applyNumberFormat="1" applyFont="1" applyFill="1" applyBorder="1" applyAlignment="1" applyProtection="1">
      <alignment horizontal="left" vertical="top"/>
      <protection locked="0"/>
    </xf>
    <xf numFmtId="0" fontId="31" fillId="4" borderId="0" xfId="0" applyNumberFormat="1" applyFont="1" applyFill="1" applyBorder="1" applyAlignment="1" applyProtection="1">
      <alignment vertical="top" wrapText="1"/>
      <protection/>
    </xf>
    <xf numFmtId="0" fontId="32" fillId="2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24" borderId="0" xfId="0" applyFont="1" applyFill="1" applyAlignment="1" applyProtection="1">
      <alignment vertical="top" wrapText="1"/>
      <protection/>
    </xf>
    <xf numFmtId="0" fontId="0" fillId="28" borderId="109" xfId="0" applyFont="1" applyFill="1" applyBorder="1" applyAlignment="1" applyProtection="1">
      <alignment vertical="top"/>
      <protection locked="0"/>
    </xf>
    <xf numFmtId="0" fontId="0" fillId="28" borderId="88" xfId="0" applyFont="1" applyFill="1" applyBorder="1" applyAlignment="1" applyProtection="1">
      <alignment vertical="top"/>
      <protection locked="0"/>
    </xf>
    <xf numFmtId="49" fontId="0" fillId="28" borderId="109" xfId="0" applyNumberFormat="1" applyFont="1" applyFill="1" applyBorder="1" applyAlignment="1" applyProtection="1">
      <alignment horizontal="left" vertical="top"/>
      <protection locked="0"/>
    </xf>
    <xf numFmtId="49" fontId="0" fillId="0" borderId="88" xfId="0" applyNumberFormat="1" applyFont="1" applyBorder="1" applyAlignment="1" applyProtection="1">
      <alignment horizontal="left" vertical="top"/>
      <protection locked="0"/>
    </xf>
    <xf numFmtId="0" fontId="0" fillId="24" borderId="88" xfId="0" applyFont="1" applyFill="1" applyBorder="1" applyAlignment="1" applyProtection="1">
      <alignment vertical="top" wrapText="1"/>
      <protection/>
    </xf>
    <xf numFmtId="0" fontId="0" fillId="0" borderId="88" xfId="0" applyBorder="1" applyAlignment="1" applyProtection="1">
      <alignment vertical="top" wrapText="1"/>
      <protection/>
    </xf>
    <xf numFmtId="0" fontId="0" fillId="0" borderId="14" xfId="0" applyBorder="1" applyAlignment="1" applyProtection="1">
      <alignment vertical="top" wrapText="1"/>
      <protection/>
    </xf>
    <xf numFmtId="0" fontId="32" fillId="24" borderId="0" xfId="0" applyFont="1" applyFill="1" applyAlignment="1" applyProtection="1">
      <alignment horizontal="left" vertical="top" wrapText="1"/>
      <protection/>
    </xf>
    <xf numFmtId="0" fontId="7" fillId="24" borderId="0" xfId="0" applyFont="1" applyFill="1" applyAlignment="1" applyProtection="1">
      <alignment horizontal="left" vertical="top" wrapText="1"/>
      <protection/>
    </xf>
    <xf numFmtId="0" fontId="28" fillId="24" borderId="0" xfId="0" applyFont="1" applyFill="1" applyAlignment="1" applyProtection="1">
      <alignment vertical="top" wrapText="1"/>
      <protection/>
    </xf>
    <xf numFmtId="0" fontId="0" fillId="0" borderId="28" xfId="0" applyBorder="1" applyAlignment="1" applyProtection="1">
      <alignment vertical="top" wrapText="1"/>
      <protection/>
    </xf>
    <xf numFmtId="49" fontId="0" fillId="28" borderId="78" xfId="0" applyNumberFormat="1" applyFont="1" applyFill="1" applyBorder="1" applyAlignment="1" applyProtection="1">
      <alignment horizontal="left" vertical="top"/>
      <protection locked="0"/>
    </xf>
    <xf numFmtId="49" fontId="0" fillId="0" borderId="32" xfId="0" applyNumberFormat="1" applyFont="1" applyBorder="1" applyAlignment="1" applyProtection="1">
      <alignment horizontal="left" vertical="top"/>
      <protection locked="0"/>
    </xf>
    <xf numFmtId="49" fontId="0" fillId="0" borderId="30" xfId="0" applyNumberFormat="1" applyFont="1" applyBorder="1" applyAlignment="1" applyProtection="1">
      <alignment horizontal="left" vertical="top"/>
      <protection locked="0"/>
    </xf>
    <xf numFmtId="0" fontId="3" fillId="24" borderId="89" xfId="0" applyFont="1" applyFill="1" applyBorder="1" applyAlignment="1" applyProtection="1">
      <alignment horizontal="left" vertical="top" wrapText="1"/>
      <protection/>
    </xf>
    <xf numFmtId="0" fontId="3" fillId="24" borderId="15" xfId="0" applyFont="1" applyFill="1" applyBorder="1" applyAlignment="1" applyProtection="1">
      <alignment horizontal="left" vertical="top" wrapText="1"/>
      <protection/>
    </xf>
    <xf numFmtId="0" fontId="3" fillId="24" borderId="32" xfId="0" applyFont="1" applyFill="1" applyBorder="1" applyAlignment="1" applyProtection="1">
      <alignment horizontal="left" vertical="top" wrapText="1"/>
      <protection/>
    </xf>
    <xf numFmtId="0" fontId="3" fillId="24" borderId="30" xfId="0" applyFont="1" applyFill="1" applyBorder="1" applyAlignment="1" applyProtection="1">
      <alignment horizontal="left" vertical="top" wrapText="1"/>
      <protection/>
    </xf>
    <xf numFmtId="0" fontId="0" fillId="30" borderId="108" xfId="0" applyNumberFormat="1" applyFont="1" applyFill="1" applyBorder="1" applyAlignment="1" applyProtection="1">
      <alignment horizontal="left" vertical="top"/>
      <protection/>
    </xf>
    <xf numFmtId="0" fontId="0" fillId="30" borderId="87" xfId="0" applyNumberFormat="1" applyFont="1" applyFill="1" applyBorder="1" applyAlignment="1" applyProtection="1">
      <alignment horizontal="left" vertical="top"/>
      <protection/>
    </xf>
    <xf numFmtId="0" fontId="0" fillId="30" borderId="13" xfId="0" applyNumberFormat="1" applyFont="1" applyFill="1" applyBorder="1" applyAlignment="1" applyProtection="1">
      <alignment horizontal="left" vertical="top"/>
      <protection/>
    </xf>
    <xf numFmtId="0" fontId="0" fillId="28" borderId="78" xfId="0" applyNumberFormat="1" applyFont="1" applyFill="1" applyBorder="1" applyAlignment="1" applyProtection="1">
      <alignment horizontal="left" vertical="top"/>
      <protection locked="0"/>
    </xf>
    <xf numFmtId="0" fontId="0" fillId="0" borderId="32" xfId="0" applyNumberFormat="1" applyFont="1" applyBorder="1" applyAlignment="1" applyProtection="1">
      <alignment horizontal="left" vertical="top"/>
      <protection locked="0"/>
    </xf>
    <xf numFmtId="0" fontId="0" fillId="0" borderId="30" xfId="0" applyNumberFormat="1" applyFont="1" applyBorder="1" applyAlignment="1" applyProtection="1">
      <alignment horizontal="left" vertical="top"/>
      <protection locked="0"/>
    </xf>
    <xf numFmtId="0" fontId="0" fillId="4" borderId="11" xfId="0" applyNumberFormat="1" applyFont="1" applyFill="1" applyBorder="1" applyAlignment="1" applyProtection="1">
      <alignment horizontal="left" vertical="top"/>
      <protection/>
    </xf>
    <xf numFmtId="0" fontId="0" fillId="30" borderId="78" xfId="0" applyNumberFormat="1" applyFont="1" applyFill="1" applyBorder="1" applyAlignment="1" applyProtection="1">
      <alignment horizontal="left" vertical="top"/>
      <protection/>
    </xf>
    <xf numFmtId="0" fontId="0" fillId="30" borderId="32" xfId="0" applyNumberFormat="1" applyFont="1" applyFill="1" applyBorder="1" applyAlignment="1" applyProtection="1">
      <alignment horizontal="left" vertical="top"/>
      <protection/>
    </xf>
    <xf numFmtId="0" fontId="0" fillId="30" borderId="30" xfId="0" applyNumberFormat="1" applyFont="1" applyFill="1" applyBorder="1" applyAlignment="1" applyProtection="1">
      <alignment horizontal="left" vertical="top"/>
      <protection/>
    </xf>
    <xf numFmtId="0" fontId="0" fillId="35" borderId="110" xfId="0" applyNumberFormat="1" applyFont="1" applyFill="1" applyBorder="1" applyAlignment="1" applyProtection="1">
      <alignment horizontal="left" vertical="top"/>
      <protection locked="0"/>
    </xf>
    <xf numFmtId="0" fontId="0" fillId="35" borderId="89" xfId="0" applyNumberFormat="1" applyFont="1" applyFill="1" applyBorder="1" applyAlignment="1" applyProtection="1">
      <alignment horizontal="left" vertical="top"/>
      <protection locked="0"/>
    </xf>
    <xf numFmtId="0" fontId="0" fillId="35" borderId="15" xfId="0" applyNumberFormat="1" applyFont="1" applyFill="1" applyBorder="1" applyAlignment="1" applyProtection="1">
      <alignment horizontal="left" vertical="top"/>
      <protection locked="0"/>
    </xf>
    <xf numFmtId="0" fontId="3" fillId="24" borderId="87" xfId="0" applyFont="1" applyFill="1" applyBorder="1" applyAlignment="1" applyProtection="1">
      <alignment horizontal="left" vertical="top" wrapText="1"/>
      <protection/>
    </xf>
    <xf numFmtId="0" fontId="3" fillId="24" borderId="13" xfId="0" applyFont="1" applyFill="1" applyBorder="1" applyAlignment="1" applyProtection="1">
      <alignment horizontal="left" vertical="top" wrapText="1"/>
      <protection/>
    </xf>
    <xf numFmtId="0" fontId="0" fillId="33" borderId="110" xfId="0" applyNumberFormat="1" applyFont="1" applyFill="1" applyBorder="1" applyAlignment="1" applyProtection="1">
      <alignment horizontal="left" vertical="top"/>
      <protection locked="0"/>
    </xf>
    <xf numFmtId="0" fontId="0" fillId="33" borderId="89" xfId="0" applyNumberFormat="1" applyFont="1" applyFill="1" applyBorder="1" applyAlignment="1" applyProtection="1">
      <alignment horizontal="left" vertical="top"/>
      <protection locked="0"/>
    </xf>
    <xf numFmtId="0" fontId="0" fillId="33" borderId="15" xfId="0" applyNumberFormat="1" applyFont="1" applyFill="1" applyBorder="1" applyAlignment="1" applyProtection="1">
      <alignment horizontal="left" vertical="top"/>
      <protection locked="0"/>
    </xf>
    <xf numFmtId="0" fontId="53" fillId="24" borderId="0" xfId="0" applyFont="1" applyFill="1" applyAlignment="1" applyProtection="1">
      <alignment horizontal="left" vertical="top" wrapText="1"/>
      <protection/>
    </xf>
    <xf numFmtId="49" fontId="0" fillId="31" borderId="0" xfId="0" applyNumberFormat="1" applyFont="1" applyFill="1" applyBorder="1" applyAlignment="1" applyProtection="1">
      <alignment horizontal="left" vertical="top"/>
      <protection/>
    </xf>
    <xf numFmtId="0" fontId="28" fillId="24" borderId="0" xfId="0" applyFont="1" applyFill="1" applyAlignment="1" applyProtection="1">
      <alignment horizontal="center"/>
      <protection/>
    </xf>
    <xf numFmtId="49" fontId="0" fillId="28" borderId="108" xfId="0" applyNumberFormat="1" applyFont="1" applyFill="1" applyBorder="1" applyAlignment="1" applyProtection="1">
      <alignment horizontal="left" vertical="top"/>
      <protection locked="0"/>
    </xf>
    <xf numFmtId="49" fontId="0" fillId="0" borderId="87" xfId="0" applyNumberFormat="1" applyFont="1" applyBorder="1" applyAlignment="1" applyProtection="1">
      <alignment horizontal="left" vertical="top"/>
      <protection locked="0"/>
    </xf>
    <xf numFmtId="0" fontId="3" fillId="31" borderId="95" xfId="0" applyNumberFormat="1" applyFont="1" applyFill="1" applyBorder="1" applyAlignment="1" applyProtection="1">
      <alignment wrapText="1"/>
      <protection/>
    </xf>
    <xf numFmtId="0" fontId="0" fillId="0" borderId="10" xfId="0" applyBorder="1" applyAlignment="1" applyProtection="1">
      <alignment wrapText="1"/>
      <protection/>
    </xf>
    <xf numFmtId="0" fontId="0" fillId="0" borderId="41" xfId="0" applyBorder="1" applyAlignment="1" applyProtection="1">
      <alignment wrapText="1"/>
      <protection/>
    </xf>
    <xf numFmtId="0" fontId="0" fillId="28" borderId="109" xfId="0" applyNumberFormat="1" applyFont="1" applyFill="1" applyBorder="1" applyAlignment="1" applyProtection="1">
      <alignment vertical="top"/>
      <protection locked="0"/>
    </xf>
    <xf numFmtId="0" fontId="0" fillId="0" borderId="88" xfId="0" applyBorder="1" applyAlignment="1" applyProtection="1">
      <alignment vertical="top"/>
      <protection locked="0"/>
    </xf>
    <xf numFmtId="49" fontId="0" fillId="23" borderId="78" xfId="0" applyNumberFormat="1" applyFont="1" applyFill="1" applyBorder="1" applyAlignment="1" applyProtection="1">
      <alignment horizontal="left" vertical="top"/>
      <protection locked="0"/>
    </xf>
    <xf numFmtId="49" fontId="0" fillId="23" borderId="32" xfId="0" applyNumberFormat="1" applyFont="1" applyFill="1" applyBorder="1" applyAlignment="1" applyProtection="1">
      <alignment horizontal="left" vertical="top"/>
      <protection locked="0"/>
    </xf>
    <xf numFmtId="49" fontId="0" fillId="23" borderId="30" xfId="0" applyNumberFormat="1" applyFont="1" applyFill="1" applyBorder="1" applyAlignment="1" applyProtection="1">
      <alignment horizontal="left" vertical="top"/>
      <protection locked="0"/>
    </xf>
    <xf numFmtId="0" fontId="0" fillId="23" borderId="109" xfId="0" applyNumberFormat="1" applyFont="1" applyFill="1" applyBorder="1" applyAlignment="1" applyProtection="1">
      <alignment horizontal="left" vertical="top"/>
      <protection locked="0"/>
    </xf>
    <xf numFmtId="0" fontId="0" fillId="23" borderId="14" xfId="0" applyNumberFormat="1" applyFont="1" applyFill="1" applyBorder="1" applyAlignment="1" applyProtection="1">
      <alignment horizontal="left" vertical="top"/>
      <protection locked="0"/>
    </xf>
    <xf numFmtId="0" fontId="0" fillId="28" borderId="109" xfId="0" applyNumberFormat="1" applyFont="1" applyFill="1" applyBorder="1" applyAlignment="1" applyProtection="1">
      <alignment horizontal="left" vertical="top"/>
      <protection locked="0"/>
    </xf>
    <xf numFmtId="0" fontId="0" fillId="0" borderId="14" xfId="0" applyBorder="1" applyAlignment="1" applyProtection="1">
      <alignment horizontal="left" vertical="top"/>
      <protection locked="0"/>
    </xf>
    <xf numFmtId="49" fontId="0" fillId="23" borderId="109" xfId="0" applyNumberFormat="1" applyFont="1" applyFill="1" applyBorder="1" applyAlignment="1" applyProtection="1">
      <alignment horizontal="left" vertical="top"/>
      <protection locked="0"/>
    </xf>
    <xf numFmtId="49" fontId="0" fillId="23" borderId="88" xfId="0" applyNumberFormat="1" applyFont="1" applyFill="1" applyBorder="1" applyAlignment="1" applyProtection="1">
      <alignment horizontal="left" vertical="top"/>
      <protection locked="0"/>
    </xf>
    <xf numFmtId="49" fontId="3" fillId="28" borderId="109" xfId="0" applyNumberFormat="1" applyFont="1" applyFill="1" applyBorder="1" applyAlignment="1" applyProtection="1">
      <alignment vertical="top"/>
      <protection locked="0"/>
    </xf>
    <xf numFmtId="49" fontId="3" fillId="28" borderId="14" xfId="0" applyNumberFormat="1" applyFont="1" applyFill="1" applyBorder="1" applyAlignment="1" applyProtection="1">
      <alignment vertical="top"/>
      <protection locked="0"/>
    </xf>
    <xf numFmtId="49" fontId="3" fillId="28" borderId="110" xfId="0" applyNumberFormat="1" applyFont="1" applyFill="1" applyBorder="1" applyAlignment="1" applyProtection="1">
      <alignment vertical="top"/>
      <protection locked="0"/>
    </xf>
    <xf numFmtId="49" fontId="3" fillId="28" borderId="15" xfId="0" applyNumberFormat="1" applyFont="1" applyFill="1" applyBorder="1" applyAlignment="1" applyProtection="1">
      <alignment vertical="top"/>
      <protection locked="0"/>
    </xf>
    <xf numFmtId="0" fontId="0" fillId="28" borderId="88" xfId="0" applyNumberFormat="1" applyFont="1" applyFill="1" applyBorder="1" applyAlignment="1" applyProtection="1">
      <alignment horizontal="left" vertical="top"/>
      <protection locked="0"/>
    </xf>
    <xf numFmtId="0" fontId="0" fillId="28" borderId="14" xfId="0" applyNumberFormat="1" applyFont="1" applyFill="1" applyBorder="1" applyAlignment="1" applyProtection="1">
      <alignment horizontal="left" vertical="top"/>
      <protection locked="0"/>
    </xf>
    <xf numFmtId="0" fontId="0" fillId="23" borderId="88" xfId="0" applyNumberFormat="1" applyFont="1" applyFill="1" applyBorder="1" applyAlignment="1" applyProtection="1">
      <alignment horizontal="left" vertical="top"/>
      <protection locked="0"/>
    </xf>
    <xf numFmtId="0" fontId="0" fillId="23" borderId="110" xfId="0" applyNumberFormat="1" applyFont="1" applyFill="1" applyBorder="1" applyAlignment="1" applyProtection="1">
      <alignment horizontal="left" vertical="top"/>
      <protection locked="0"/>
    </xf>
    <xf numFmtId="0" fontId="0" fillId="23" borderId="15" xfId="0" applyNumberFormat="1" applyFont="1" applyFill="1" applyBorder="1" applyAlignment="1" applyProtection="1">
      <alignment horizontal="left" vertical="top"/>
      <protection locked="0"/>
    </xf>
    <xf numFmtId="49" fontId="0" fillId="23" borderId="110" xfId="0" applyNumberFormat="1" applyFont="1" applyFill="1" applyBorder="1" applyAlignment="1" applyProtection="1">
      <alignment horizontal="left" vertical="top"/>
      <protection locked="0"/>
    </xf>
    <xf numFmtId="49" fontId="0" fillId="23" borderId="89" xfId="0" applyNumberFormat="1" applyFont="1" applyFill="1" applyBorder="1" applyAlignment="1" applyProtection="1">
      <alignment horizontal="left" vertical="top"/>
      <protection locked="0"/>
    </xf>
    <xf numFmtId="0" fontId="0" fillId="23" borderId="89" xfId="0" applyNumberFormat="1" applyFont="1" applyFill="1" applyBorder="1" applyAlignment="1" applyProtection="1">
      <alignment horizontal="left" vertical="top"/>
      <protection locked="0"/>
    </xf>
    <xf numFmtId="0" fontId="0" fillId="28" borderId="108" xfId="0" applyNumberFormat="1" applyFont="1" applyFill="1" applyBorder="1" applyAlignment="1" applyProtection="1">
      <alignment vertical="top"/>
      <protection locked="0"/>
    </xf>
    <xf numFmtId="0" fontId="0" fillId="0" borderId="87" xfId="0" applyBorder="1" applyAlignment="1" applyProtection="1">
      <alignment vertical="top"/>
      <protection locked="0"/>
    </xf>
    <xf numFmtId="0" fontId="0" fillId="28" borderId="108" xfId="0" applyNumberFormat="1" applyFont="1" applyFill="1" applyBorder="1" applyAlignment="1" applyProtection="1">
      <alignment horizontal="left" vertical="top"/>
      <protection locked="0"/>
    </xf>
    <xf numFmtId="0" fontId="0" fillId="0" borderId="13" xfId="0" applyBorder="1" applyAlignment="1" applyProtection="1">
      <alignment horizontal="left" vertical="top"/>
      <protection locked="0"/>
    </xf>
    <xf numFmtId="49" fontId="3" fillId="28" borderId="108" xfId="0" applyNumberFormat="1" applyFont="1" applyFill="1" applyBorder="1" applyAlignment="1" applyProtection="1">
      <alignment vertical="top"/>
      <protection locked="0"/>
    </xf>
    <xf numFmtId="49" fontId="3" fillId="28" borderId="13" xfId="0" applyNumberFormat="1" applyFont="1" applyFill="1" applyBorder="1" applyAlignment="1" applyProtection="1">
      <alignment vertical="top"/>
      <protection locked="0"/>
    </xf>
    <xf numFmtId="0" fontId="0" fillId="28" borderId="110" xfId="0" applyNumberFormat="1" applyFont="1" applyFill="1" applyBorder="1" applyAlignment="1" applyProtection="1">
      <alignment horizontal="left" vertical="top"/>
      <protection locked="0"/>
    </xf>
    <xf numFmtId="0" fontId="0" fillId="28" borderId="89" xfId="0" applyNumberFormat="1" applyFont="1" applyFill="1" applyBorder="1" applyAlignment="1" applyProtection="1">
      <alignment horizontal="left" vertical="top"/>
      <protection locked="0"/>
    </xf>
    <xf numFmtId="0" fontId="0" fillId="28" borderId="15" xfId="0" applyNumberFormat="1" applyFont="1" applyFill="1"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28" borderId="110" xfId="0" applyNumberFormat="1" applyFont="1" applyFill="1" applyBorder="1" applyAlignment="1" applyProtection="1">
      <alignment vertical="top"/>
      <protection locked="0"/>
    </xf>
    <xf numFmtId="0" fontId="0" fillId="0" borderId="89" xfId="0" applyBorder="1" applyAlignment="1" applyProtection="1">
      <alignment vertical="top"/>
      <protection locked="0"/>
    </xf>
    <xf numFmtId="49" fontId="0" fillId="23" borderId="108" xfId="0" applyNumberFormat="1" applyFont="1" applyFill="1" applyBorder="1" applyAlignment="1" applyProtection="1">
      <alignment horizontal="left" vertical="top"/>
      <protection locked="0"/>
    </xf>
    <xf numFmtId="49" fontId="0" fillId="23" borderId="87" xfId="0" applyNumberFormat="1" applyFont="1" applyFill="1" applyBorder="1" applyAlignment="1" applyProtection="1">
      <alignment horizontal="left" vertical="top"/>
      <protection locked="0"/>
    </xf>
    <xf numFmtId="0" fontId="0" fillId="23" borderId="108" xfId="0" applyNumberFormat="1" applyFont="1" applyFill="1" applyBorder="1" applyAlignment="1" applyProtection="1">
      <alignment horizontal="left" vertical="top"/>
      <protection locked="0"/>
    </xf>
    <xf numFmtId="0" fontId="0" fillId="23" borderId="13" xfId="0" applyNumberFormat="1" applyFont="1" applyFill="1" applyBorder="1" applyAlignment="1" applyProtection="1">
      <alignment horizontal="left" vertical="top"/>
      <protection locked="0"/>
    </xf>
    <xf numFmtId="0" fontId="3" fillId="24" borderId="10" xfId="0" applyNumberFormat="1" applyFont="1" applyFill="1" applyBorder="1" applyAlignment="1" applyProtection="1">
      <alignment wrapText="1"/>
      <protection/>
    </xf>
    <xf numFmtId="0" fontId="0" fillId="23" borderId="87" xfId="0" applyNumberFormat="1" applyFont="1" applyFill="1" applyBorder="1" applyAlignment="1" applyProtection="1">
      <alignment horizontal="left" vertical="top"/>
      <protection locked="0"/>
    </xf>
    <xf numFmtId="0" fontId="3" fillId="0" borderId="95" xfId="0" applyNumberFormat="1" applyFont="1" applyFill="1" applyBorder="1" applyAlignment="1" applyProtection="1">
      <alignment wrapText="1"/>
      <protection/>
    </xf>
    <xf numFmtId="0" fontId="0" fillId="28" borderId="108" xfId="0" applyNumberFormat="1" applyFont="1" applyFill="1" applyBorder="1" applyAlignment="1" applyProtection="1">
      <alignment horizontal="left" vertical="top"/>
      <protection locked="0"/>
    </xf>
    <xf numFmtId="0" fontId="0" fillId="28" borderId="87" xfId="0" applyNumberFormat="1" applyFont="1" applyFill="1" applyBorder="1" applyAlignment="1" applyProtection="1">
      <alignment horizontal="left" vertical="top"/>
      <protection locked="0"/>
    </xf>
    <xf numFmtId="0" fontId="0" fillId="28" borderId="13" xfId="0" applyNumberFormat="1" applyFont="1" applyFill="1" applyBorder="1" applyAlignment="1" applyProtection="1">
      <alignment horizontal="left" vertical="top"/>
      <protection locked="0"/>
    </xf>
    <xf numFmtId="49" fontId="0" fillId="23" borderId="110" xfId="0" applyNumberFormat="1" applyFont="1" applyFill="1" applyBorder="1" applyAlignment="1" applyProtection="1">
      <alignment horizontal="left" vertical="top"/>
      <protection locked="0"/>
    </xf>
    <xf numFmtId="49" fontId="0" fillId="23" borderId="89" xfId="0" applyNumberFormat="1" applyFont="1" applyFill="1" applyBorder="1" applyAlignment="1" applyProtection="1">
      <alignment horizontal="left" vertical="top"/>
      <protection locked="0"/>
    </xf>
    <xf numFmtId="0" fontId="0" fillId="24" borderId="89" xfId="0" applyFont="1" applyFill="1" applyBorder="1" applyAlignment="1" applyProtection="1">
      <alignment vertical="top" wrapText="1"/>
      <protection/>
    </xf>
    <xf numFmtId="0" fontId="0" fillId="0" borderId="89" xfId="0" applyBorder="1" applyAlignment="1" applyProtection="1">
      <alignment vertical="top" wrapText="1"/>
      <protection/>
    </xf>
    <xf numFmtId="0" fontId="0" fillId="0" borderId="15" xfId="0" applyBorder="1" applyAlignment="1" applyProtection="1">
      <alignment vertical="top" wrapText="1"/>
      <protection/>
    </xf>
    <xf numFmtId="0" fontId="3" fillId="24" borderId="0" xfId="0" applyFont="1" applyFill="1" applyAlignment="1" applyProtection="1">
      <alignment vertical="top" wrapText="1"/>
      <protection/>
    </xf>
    <xf numFmtId="0" fontId="0" fillId="24" borderId="87" xfId="0" applyFont="1" applyFill="1" applyBorder="1" applyAlignment="1" applyProtection="1">
      <alignment vertical="top" wrapText="1"/>
      <protection/>
    </xf>
    <xf numFmtId="0" fontId="0" fillId="0" borderId="87" xfId="0" applyBorder="1" applyAlignment="1" applyProtection="1">
      <alignment vertical="top" wrapText="1"/>
      <protection/>
    </xf>
    <xf numFmtId="0" fontId="0" fillId="0" borderId="13" xfId="0" applyBorder="1" applyAlignment="1" applyProtection="1">
      <alignment vertical="top" wrapText="1"/>
      <protection/>
    </xf>
    <xf numFmtId="49" fontId="0" fillId="23" borderId="109" xfId="0" applyNumberFormat="1" applyFont="1" applyFill="1" applyBorder="1" applyAlignment="1" applyProtection="1">
      <alignment horizontal="left" vertical="top"/>
      <protection locked="0"/>
    </xf>
    <xf numFmtId="49" fontId="0" fillId="23" borderId="88" xfId="0" applyNumberFormat="1" applyFont="1" applyFill="1" applyBorder="1" applyAlignment="1" applyProtection="1">
      <alignment horizontal="left" vertical="top"/>
      <protection locked="0"/>
    </xf>
    <xf numFmtId="0" fontId="0" fillId="28" borderId="108" xfId="0" applyFont="1" applyFill="1" applyBorder="1" applyAlignment="1" applyProtection="1">
      <alignment vertical="top"/>
      <protection locked="0"/>
    </xf>
    <xf numFmtId="0" fontId="0" fillId="0" borderId="87" xfId="0" applyFont="1" applyBorder="1" applyAlignment="1" applyProtection="1">
      <alignment/>
      <protection locked="0"/>
    </xf>
    <xf numFmtId="49" fontId="0" fillId="23" borderId="108" xfId="0" applyNumberFormat="1" applyFont="1" applyFill="1" applyBorder="1" applyAlignment="1" applyProtection="1">
      <alignment horizontal="left" vertical="top"/>
      <protection locked="0"/>
    </xf>
    <xf numFmtId="49" fontId="0" fillId="23" borderId="87" xfId="0" applyNumberFormat="1" applyFont="1" applyFill="1" applyBorder="1" applyAlignment="1" applyProtection="1">
      <alignment horizontal="left" vertical="top"/>
      <protection locked="0"/>
    </xf>
    <xf numFmtId="0" fontId="0" fillId="0" borderId="0" xfId="0" applyAlignment="1" applyProtection="1">
      <alignment wrapText="1"/>
      <protection/>
    </xf>
    <xf numFmtId="0" fontId="3" fillId="24" borderId="10" xfId="0" applyFont="1" applyFill="1" applyBorder="1" applyAlignment="1" applyProtection="1">
      <alignment vertical="top" wrapText="1"/>
      <protection/>
    </xf>
    <xf numFmtId="0" fontId="3" fillId="24" borderId="10" xfId="0" applyFont="1" applyFill="1" applyBorder="1" applyAlignment="1" applyProtection="1">
      <alignment vertical="top" wrapText="1"/>
      <protection/>
    </xf>
    <xf numFmtId="0" fontId="3" fillId="24" borderId="0" xfId="0" applyFont="1" applyFill="1" applyBorder="1" applyAlignment="1" applyProtection="1">
      <alignment horizontal="left" vertical="top" wrapText="1"/>
      <protection/>
    </xf>
    <xf numFmtId="0" fontId="3" fillId="24" borderId="28" xfId="0" applyFont="1" applyFill="1" applyBorder="1" applyAlignment="1" applyProtection="1">
      <alignment horizontal="left" vertical="top" wrapText="1"/>
      <protection/>
    </xf>
    <xf numFmtId="0" fontId="3" fillId="21" borderId="40"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28" borderId="110" xfId="0" applyFont="1" applyFill="1" applyBorder="1" applyAlignment="1" applyProtection="1">
      <alignment vertical="top"/>
      <protection locked="0"/>
    </xf>
    <xf numFmtId="0" fontId="0" fillId="28" borderId="89" xfId="0" applyFont="1" applyFill="1" applyBorder="1" applyAlignment="1" applyProtection="1">
      <alignment vertical="top"/>
      <protection locked="0"/>
    </xf>
    <xf numFmtId="0" fontId="3" fillId="28" borderId="78" xfId="0" applyNumberFormat="1" applyFont="1" applyFill="1" applyBorder="1" applyAlignment="1" applyProtection="1">
      <alignment horizontal="center" vertical="top"/>
      <protection locked="0"/>
    </xf>
    <xf numFmtId="0" fontId="3" fillId="28" borderId="30" xfId="0" applyNumberFormat="1" applyFont="1" applyFill="1" applyBorder="1" applyAlignment="1" applyProtection="1">
      <alignment horizontal="center" vertical="top"/>
      <protection locked="0"/>
    </xf>
    <xf numFmtId="0" fontId="0" fillId="30" borderId="109" xfId="0" applyNumberFormat="1" applyFont="1" applyFill="1" applyBorder="1" applyAlignment="1" applyProtection="1">
      <alignment horizontal="left" vertical="top"/>
      <protection/>
    </xf>
    <xf numFmtId="0" fontId="0" fillId="30" borderId="88" xfId="0" applyNumberFormat="1" applyFont="1" applyFill="1" applyBorder="1" applyAlignment="1" applyProtection="1">
      <alignment horizontal="left" vertical="top"/>
      <protection/>
    </xf>
    <xf numFmtId="0" fontId="0" fillId="30" borderId="14" xfId="0" applyNumberFormat="1" applyFont="1" applyFill="1" applyBorder="1" applyAlignment="1" applyProtection="1">
      <alignment horizontal="left" vertical="top"/>
      <protection/>
    </xf>
    <xf numFmtId="0" fontId="0" fillId="24" borderId="109" xfId="0" applyNumberFormat="1" applyFont="1" applyFill="1" applyBorder="1" applyAlignment="1" applyProtection="1">
      <alignment horizontal="left" vertical="top"/>
      <protection/>
    </xf>
    <xf numFmtId="0" fontId="0" fillId="24" borderId="88" xfId="0" applyNumberFormat="1" applyFont="1" applyFill="1" applyBorder="1" applyAlignment="1" applyProtection="1">
      <alignment horizontal="left" vertical="top"/>
      <protection/>
    </xf>
    <xf numFmtId="0" fontId="0" fillId="24" borderId="14" xfId="0" applyNumberFormat="1" applyFont="1" applyFill="1" applyBorder="1" applyAlignment="1" applyProtection="1">
      <alignment horizontal="left" vertical="top"/>
      <protection/>
    </xf>
    <xf numFmtId="0" fontId="0" fillId="24" borderId="116" xfId="0" applyNumberFormat="1" applyFont="1" applyFill="1" applyBorder="1" applyAlignment="1" applyProtection="1">
      <alignment horizontal="left" vertical="top"/>
      <protection/>
    </xf>
    <xf numFmtId="0" fontId="0" fillId="24" borderId="112" xfId="0" applyNumberFormat="1" applyFont="1" applyFill="1" applyBorder="1" applyAlignment="1" applyProtection="1">
      <alignment horizontal="left" vertical="top"/>
      <protection/>
    </xf>
    <xf numFmtId="0" fontId="0" fillId="24" borderId="113" xfId="0" applyNumberFormat="1" applyFont="1" applyFill="1" applyBorder="1" applyAlignment="1" applyProtection="1">
      <alignment horizontal="left" vertical="top"/>
      <protection/>
    </xf>
    <xf numFmtId="0" fontId="0" fillId="24" borderId="111" xfId="0" applyNumberFormat="1" applyFont="1" applyFill="1" applyBorder="1" applyAlignment="1" applyProtection="1">
      <alignment horizontal="left" vertical="top"/>
      <protection/>
    </xf>
    <xf numFmtId="0" fontId="0" fillId="24" borderId="97" xfId="0" applyNumberFormat="1" applyFont="1" applyFill="1" applyBorder="1" applyAlignment="1" applyProtection="1">
      <alignment horizontal="left" vertical="top"/>
      <protection/>
    </xf>
    <xf numFmtId="0" fontId="0" fillId="24" borderId="18" xfId="0" applyNumberFormat="1" applyFont="1" applyFill="1" applyBorder="1" applyAlignment="1" applyProtection="1">
      <alignment horizontal="left" vertical="top"/>
      <protection/>
    </xf>
    <xf numFmtId="0" fontId="0" fillId="24" borderId="110" xfId="0" applyNumberFormat="1" applyFont="1" applyFill="1" applyBorder="1" applyAlignment="1" applyProtection="1">
      <alignment horizontal="left" vertical="top"/>
      <protection/>
    </xf>
    <xf numFmtId="0" fontId="0" fillId="24" borderId="89" xfId="0" applyNumberFormat="1" applyFont="1" applyFill="1" applyBorder="1" applyAlignment="1" applyProtection="1">
      <alignment horizontal="left" vertical="top"/>
      <protection/>
    </xf>
    <xf numFmtId="0" fontId="0" fillId="24" borderId="15" xfId="0" applyNumberFormat="1" applyFont="1" applyFill="1" applyBorder="1" applyAlignment="1" applyProtection="1">
      <alignment horizontal="left" vertical="top"/>
      <protection/>
    </xf>
    <xf numFmtId="0" fontId="0" fillId="24" borderId="95" xfId="0" applyNumberFormat="1" applyFont="1" applyFill="1" applyBorder="1" applyAlignment="1" applyProtection="1">
      <alignment horizontal="left" vertical="top"/>
      <protection/>
    </xf>
    <xf numFmtId="0" fontId="0" fillId="0" borderId="10" xfId="0" applyNumberFormat="1" applyBorder="1" applyAlignment="1" applyProtection="1">
      <alignment horizontal="left" vertical="top"/>
      <protection/>
    </xf>
    <xf numFmtId="0" fontId="0" fillId="0" borderId="41" xfId="0" applyNumberFormat="1" applyBorder="1" applyAlignment="1" applyProtection="1">
      <alignment horizontal="left" vertical="top"/>
      <protection/>
    </xf>
    <xf numFmtId="0" fontId="29" fillId="4" borderId="64" xfId="0" applyFont="1" applyFill="1" applyBorder="1" applyAlignment="1" applyProtection="1">
      <alignment horizontal="center" vertical="center" wrapText="1"/>
      <protection/>
    </xf>
    <xf numFmtId="0" fontId="29" fillId="4" borderId="65" xfId="0" applyFont="1" applyFill="1" applyBorder="1" applyAlignment="1" applyProtection="1">
      <alignment horizontal="center" vertical="center" wrapText="1"/>
      <protection/>
    </xf>
    <xf numFmtId="0" fontId="29" fillId="4" borderId="66" xfId="0" applyFont="1" applyFill="1" applyBorder="1" applyAlignment="1" applyProtection="1">
      <alignment horizontal="center" vertical="center" wrapText="1"/>
      <protection/>
    </xf>
    <xf numFmtId="0" fontId="28" fillId="24" borderId="0" xfId="0" applyFont="1" applyFill="1" applyAlignment="1" applyProtection="1">
      <alignment vertical="center" wrapText="1"/>
      <protection/>
    </xf>
    <xf numFmtId="0" fontId="3" fillId="30" borderId="37" xfId="0" applyFont="1" applyFill="1" applyBorder="1" applyAlignment="1" applyProtection="1">
      <alignment horizontal="center" vertical="center"/>
      <protection/>
    </xf>
    <xf numFmtId="0" fontId="0" fillId="30" borderId="110" xfId="0" applyNumberFormat="1" applyFont="1" applyFill="1" applyBorder="1" applyAlignment="1" applyProtection="1">
      <alignment horizontal="left" vertical="top"/>
      <protection/>
    </xf>
    <xf numFmtId="0" fontId="0" fillId="30" borderId="89" xfId="0" applyNumberFormat="1" applyFont="1" applyFill="1" applyBorder="1" applyAlignment="1" applyProtection="1">
      <alignment horizontal="left" vertical="top"/>
      <protection/>
    </xf>
    <xf numFmtId="0" fontId="0" fillId="30" borderId="15" xfId="0" applyNumberFormat="1" applyFont="1" applyFill="1" applyBorder="1" applyAlignment="1" applyProtection="1">
      <alignment horizontal="left" vertical="top"/>
      <protection/>
    </xf>
    <xf numFmtId="0" fontId="0" fillId="30" borderId="111" xfId="0" applyNumberFormat="1" applyFont="1" applyFill="1" applyBorder="1" applyAlignment="1" applyProtection="1">
      <alignment horizontal="left" vertical="top"/>
      <protection/>
    </xf>
    <xf numFmtId="0" fontId="0" fillId="30" borderId="97" xfId="0" applyNumberFormat="1" applyFont="1" applyFill="1" applyBorder="1" applyAlignment="1" applyProtection="1">
      <alignment horizontal="left" vertical="top"/>
      <protection/>
    </xf>
    <xf numFmtId="0" fontId="0" fillId="30" borderId="18" xfId="0" applyNumberFormat="1" applyFont="1" applyFill="1" applyBorder="1" applyAlignment="1" applyProtection="1">
      <alignment horizontal="left" vertical="top"/>
      <protection/>
    </xf>
    <xf numFmtId="0" fontId="0" fillId="30" borderId="108" xfId="0" applyNumberFormat="1" applyFont="1" applyFill="1" applyBorder="1" applyAlignment="1" applyProtection="1">
      <alignment horizontal="left" vertical="top"/>
      <protection/>
    </xf>
    <xf numFmtId="0" fontId="0" fillId="30" borderId="87" xfId="0" applyNumberFormat="1" applyFont="1" applyFill="1" applyBorder="1" applyAlignment="1" applyProtection="1">
      <alignment horizontal="left" vertical="top"/>
      <protection/>
    </xf>
    <xf numFmtId="0" fontId="0" fillId="30" borderId="13" xfId="0" applyNumberFormat="1" applyFont="1" applyFill="1" applyBorder="1" applyAlignment="1" applyProtection="1">
      <alignment horizontal="left" vertical="top"/>
      <protection/>
    </xf>
    <xf numFmtId="0" fontId="3" fillId="24" borderId="95" xfId="0" applyNumberFormat="1" applyFont="1" applyFill="1" applyBorder="1" applyAlignment="1" applyProtection="1">
      <alignment horizontal="left" wrapText="1"/>
      <protection/>
    </xf>
    <xf numFmtId="0" fontId="3" fillId="24" borderId="10" xfId="0" applyNumberFormat="1" applyFont="1" applyFill="1" applyBorder="1" applyAlignment="1" applyProtection="1">
      <alignment horizontal="left" wrapText="1"/>
      <protection/>
    </xf>
    <xf numFmtId="0" fontId="3" fillId="24" borderId="41" xfId="0" applyNumberFormat="1" applyFont="1" applyFill="1" applyBorder="1" applyAlignment="1" applyProtection="1">
      <alignment horizontal="left" wrapText="1"/>
      <protection/>
    </xf>
    <xf numFmtId="0" fontId="3" fillId="24" borderId="41" xfId="0" applyNumberFormat="1" applyFont="1" applyFill="1" applyBorder="1" applyAlignment="1" applyProtection="1">
      <alignment wrapText="1"/>
      <protection/>
    </xf>
    <xf numFmtId="0" fontId="0" fillId="28" borderId="111" xfId="0" applyNumberFormat="1" applyFont="1" applyFill="1" applyBorder="1" applyAlignment="1" applyProtection="1">
      <alignment horizontal="left" vertical="top"/>
      <protection locked="0"/>
    </xf>
    <xf numFmtId="0" fontId="0" fillId="28" borderId="97" xfId="0" applyNumberFormat="1" applyFont="1" applyFill="1" applyBorder="1" applyAlignment="1" applyProtection="1">
      <alignment horizontal="left" vertical="top"/>
      <protection locked="0"/>
    </xf>
    <xf numFmtId="0" fontId="0" fillId="28" borderId="18" xfId="0" applyNumberFormat="1" applyFont="1" applyFill="1" applyBorder="1" applyAlignment="1" applyProtection="1">
      <alignment horizontal="left" vertical="top"/>
      <protection locked="0"/>
    </xf>
    <xf numFmtId="0" fontId="0" fillId="0" borderId="0" xfId="0" applyAlignment="1" applyProtection="1">
      <alignment vertical="center" wrapText="1"/>
      <protection/>
    </xf>
    <xf numFmtId="0" fontId="0" fillId="30" borderId="134" xfId="0" applyNumberFormat="1" applyFont="1" applyFill="1" applyBorder="1" applyAlignment="1" applyProtection="1">
      <alignment horizontal="left" vertical="center"/>
      <protection/>
    </xf>
    <xf numFmtId="0" fontId="0" fillId="30" borderId="83" xfId="0" applyNumberFormat="1" applyFont="1" applyFill="1" applyBorder="1" applyAlignment="1" applyProtection="1">
      <alignment horizontal="left" vertical="center"/>
      <protection/>
    </xf>
    <xf numFmtId="0" fontId="0" fillId="30" borderId="85" xfId="0" applyNumberFormat="1" applyFont="1" applyFill="1" applyBorder="1" applyAlignment="1" applyProtection="1">
      <alignment horizontal="left" vertical="center"/>
      <protection/>
    </xf>
    <xf numFmtId="0" fontId="0" fillId="30" borderId="109" xfId="0" applyNumberFormat="1" applyFont="1" applyFill="1" applyBorder="1" applyAlignment="1" applyProtection="1">
      <alignment horizontal="left" vertical="center"/>
      <protection/>
    </xf>
    <xf numFmtId="0" fontId="0" fillId="30" borderId="88" xfId="0" applyNumberFormat="1" applyFont="1" applyFill="1" applyBorder="1" applyAlignment="1" applyProtection="1">
      <alignment horizontal="left" vertical="center"/>
      <protection/>
    </xf>
    <xf numFmtId="0" fontId="0" fillId="30" borderId="135" xfId="0" applyNumberFormat="1" applyFont="1" applyFill="1" applyBorder="1" applyAlignment="1" applyProtection="1">
      <alignment horizontal="left" vertical="center"/>
      <protection/>
    </xf>
    <xf numFmtId="0" fontId="3" fillId="30" borderId="64" xfId="0" applyFont="1" applyFill="1" applyBorder="1" applyAlignment="1" applyProtection="1">
      <alignment horizontal="center" vertical="center" wrapText="1"/>
      <protection/>
    </xf>
    <xf numFmtId="0" fontId="3" fillId="30" borderId="65" xfId="0" applyFont="1" applyFill="1" applyBorder="1" applyAlignment="1" applyProtection="1">
      <alignment horizontal="center" vertical="center" wrapText="1"/>
      <protection/>
    </xf>
    <xf numFmtId="0" fontId="3" fillId="30" borderId="66" xfId="0" applyFont="1" applyFill="1" applyBorder="1" applyAlignment="1" applyProtection="1">
      <alignment horizontal="center" vertical="center" wrapText="1"/>
      <protection/>
    </xf>
    <xf numFmtId="0" fontId="3" fillId="24" borderId="92" xfId="0" applyNumberFormat="1" applyFont="1" applyFill="1" applyBorder="1" applyAlignment="1" applyProtection="1">
      <alignment horizontal="left" wrapText="1"/>
      <protection/>
    </xf>
    <xf numFmtId="0" fontId="3" fillId="24" borderId="0" xfId="0" applyNumberFormat="1" applyFont="1" applyFill="1" applyBorder="1" applyAlignment="1" applyProtection="1">
      <alignment horizontal="left" wrapText="1"/>
      <protection/>
    </xf>
    <xf numFmtId="0" fontId="0" fillId="24" borderId="116" xfId="0" applyNumberFormat="1" applyFont="1" applyFill="1" applyBorder="1" applyAlignment="1" applyProtection="1">
      <alignment horizontal="left" vertical="center"/>
      <protection/>
    </xf>
    <xf numFmtId="0" fontId="0" fillId="24" borderId="112" xfId="0" applyNumberFormat="1" applyFont="1" applyFill="1" applyBorder="1" applyAlignment="1" applyProtection="1">
      <alignment horizontal="left" vertical="center"/>
      <protection/>
    </xf>
    <xf numFmtId="0" fontId="0" fillId="24" borderId="133" xfId="0" applyNumberFormat="1" applyFont="1" applyFill="1" applyBorder="1" applyAlignment="1" applyProtection="1">
      <alignment horizontal="left" vertical="center"/>
      <protection/>
    </xf>
    <xf numFmtId="0" fontId="0" fillId="31" borderId="136" xfId="0" applyNumberFormat="1" applyFont="1" applyFill="1" applyBorder="1" applyAlignment="1" applyProtection="1">
      <alignment horizontal="left" vertical="center"/>
      <protection/>
    </xf>
    <xf numFmtId="0" fontId="0" fillId="31" borderId="96" xfId="0" applyNumberFormat="1" applyFont="1" applyFill="1" applyBorder="1" applyAlignment="1" applyProtection="1">
      <alignment horizontal="left" vertical="center"/>
      <protection/>
    </xf>
    <xf numFmtId="0" fontId="0" fillId="31" borderId="137" xfId="0" applyNumberFormat="1" applyFont="1" applyFill="1" applyBorder="1" applyAlignment="1" applyProtection="1">
      <alignment horizontal="left" vertical="center"/>
      <protection/>
    </xf>
    <xf numFmtId="0" fontId="0" fillId="31" borderId="109" xfId="0" applyNumberFormat="1" applyFont="1" applyFill="1" applyBorder="1" applyAlignment="1" applyProtection="1">
      <alignment horizontal="left" vertical="center"/>
      <protection/>
    </xf>
    <xf numFmtId="0" fontId="0" fillId="31" borderId="88" xfId="0" applyNumberFormat="1" applyFont="1" applyFill="1" applyBorder="1" applyAlignment="1" applyProtection="1">
      <alignment horizontal="left" vertical="center"/>
      <protection/>
    </xf>
    <xf numFmtId="0" fontId="0" fillId="31" borderId="135" xfId="0" applyNumberFormat="1" applyFont="1" applyFill="1" applyBorder="1" applyAlignment="1" applyProtection="1">
      <alignment horizontal="left" vertical="center"/>
      <protection/>
    </xf>
    <xf numFmtId="0" fontId="0" fillId="31" borderId="111" xfId="0" applyNumberFormat="1" applyFont="1" applyFill="1" applyBorder="1" applyAlignment="1" applyProtection="1">
      <alignment horizontal="left" vertical="center"/>
      <protection/>
    </xf>
    <xf numFmtId="0" fontId="0" fillId="31" borderId="97" xfId="0" applyNumberFormat="1" applyFont="1" applyFill="1" applyBorder="1" applyAlignment="1" applyProtection="1">
      <alignment horizontal="left" vertical="center"/>
      <protection/>
    </xf>
    <xf numFmtId="0" fontId="0" fillId="31" borderId="138" xfId="0" applyNumberFormat="1" applyFont="1" applyFill="1" applyBorder="1" applyAlignment="1" applyProtection="1">
      <alignment horizontal="left" vertical="center"/>
      <protection/>
    </xf>
    <xf numFmtId="0" fontId="0" fillId="30" borderId="110" xfId="0" applyNumberFormat="1" applyFont="1" applyFill="1" applyBorder="1" applyAlignment="1" applyProtection="1">
      <alignment horizontal="left" vertical="center"/>
      <protection/>
    </xf>
    <xf numFmtId="0" fontId="0" fillId="30" borderId="89" xfId="0" applyNumberFormat="1" applyFont="1" applyFill="1" applyBorder="1" applyAlignment="1" applyProtection="1">
      <alignment horizontal="left" vertical="center"/>
      <protection/>
    </xf>
    <xf numFmtId="0" fontId="0" fillId="30" borderId="139" xfId="0" applyNumberFormat="1" applyFont="1" applyFill="1" applyBorder="1" applyAlignment="1" applyProtection="1">
      <alignment horizontal="left" vertical="center"/>
      <protection/>
    </xf>
    <xf numFmtId="0" fontId="0" fillId="4" borderId="78" xfId="0" applyNumberFormat="1" applyFont="1" applyFill="1" applyBorder="1" applyAlignment="1" applyProtection="1">
      <alignment vertical="top" wrapText="1"/>
      <protection/>
    </xf>
    <xf numFmtId="0" fontId="0" fillId="0" borderId="32" xfId="0" applyNumberFormat="1" applyBorder="1" applyAlignment="1" applyProtection="1">
      <alignment vertical="top" wrapText="1"/>
      <protection/>
    </xf>
    <xf numFmtId="0" fontId="0" fillId="0" borderId="30" xfId="0" applyNumberFormat="1" applyBorder="1" applyAlignment="1" applyProtection="1">
      <alignment vertical="top" wrapText="1"/>
      <protection/>
    </xf>
    <xf numFmtId="0" fontId="0" fillId="4" borderId="78" xfId="0" applyNumberFormat="1" applyFont="1" applyFill="1" applyBorder="1" applyAlignment="1" applyProtection="1">
      <alignment horizontal="left" vertical="top" wrapText="1"/>
      <protection/>
    </xf>
    <xf numFmtId="0" fontId="0" fillId="0" borderId="32" xfId="0" applyNumberFormat="1" applyBorder="1" applyAlignment="1" applyProtection="1">
      <alignment horizontal="left" vertical="top" wrapText="1"/>
      <protection/>
    </xf>
    <xf numFmtId="0" fontId="0" fillId="0" borderId="30" xfId="0" applyNumberFormat="1" applyBorder="1" applyAlignment="1" applyProtection="1">
      <alignment horizontal="left" vertical="top" wrapText="1"/>
      <protection/>
    </xf>
    <xf numFmtId="0" fontId="0" fillId="4" borderId="32" xfId="0" applyNumberFormat="1" applyFont="1" applyFill="1" applyBorder="1" applyAlignment="1" applyProtection="1">
      <alignment vertical="top" wrapText="1"/>
      <protection/>
    </xf>
    <xf numFmtId="0" fontId="0" fillId="4" borderId="30" xfId="0" applyNumberFormat="1" applyFont="1" applyFill="1" applyBorder="1" applyAlignment="1" applyProtection="1">
      <alignment vertical="top" wrapText="1"/>
      <protection/>
    </xf>
    <xf numFmtId="0" fontId="0" fillId="4" borderId="11" xfId="0" applyNumberFormat="1" applyFont="1" applyFill="1" applyBorder="1" applyAlignment="1" applyProtection="1">
      <alignment horizontal="left" vertical="top" wrapText="1"/>
      <protection/>
    </xf>
    <xf numFmtId="0" fontId="0" fillId="24" borderId="95" xfId="0" applyNumberFormat="1" applyFont="1" applyFill="1" applyBorder="1" applyAlignment="1" applyProtection="1">
      <alignment vertical="top" wrapText="1"/>
      <protection/>
    </xf>
    <xf numFmtId="0" fontId="0" fillId="24" borderId="10" xfId="0" applyNumberFormat="1" applyFont="1" applyFill="1" applyBorder="1" applyAlignment="1" applyProtection="1">
      <alignment vertical="top" wrapText="1"/>
      <protection/>
    </xf>
    <xf numFmtId="0" fontId="0" fillId="24" borderId="41" xfId="0" applyNumberFormat="1" applyFont="1" applyFill="1" applyBorder="1" applyAlignment="1" applyProtection="1">
      <alignment vertical="top" wrapText="1"/>
      <protection/>
    </xf>
    <xf numFmtId="0" fontId="0" fillId="4" borderId="78" xfId="0" applyFont="1" applyFill="1" applyBorder="1" applyAlignment="1" applyProtection="1">
      <alignment vertical="top" wrapText="1"/>
      <protection/>
    </xf>
    <xf numFmtId="0" fontId="0" fillId="0" borderId="32" xfId="0" applyBorder="1" applyAlignment="1" applyProtection="1">
      <alignment vertical="top" wrapText="1"/>
      <protection/>
    </xf>
    <xf numFmtId="0" fontId="2" fillId="26" borderId="0" xfId="0" applyFont="1" applyFill="1" applyBorder="1" applyAlignment="1" applyProtection="1">
      <alignment vertical="center" wrapText="1"/>
      <protection/>
    </xf>
    <xf numFmtId="0" fontId="0" fillId="30" borderId="78" xfId="0" applyNumberFormat="1" applyFont="1" applyFill="1" applyBorder="1" applyAlignment="1" applyProtection="1">
      <alignment horizontal="center" vertical="top"/>
      <protection/>
    </xf>
    <xf numFmtId="0" fontId="0" fillId="30" borderId="30" xfId="0" applyNumberFormat="1" applyFont="1" applyFill="1" applyBorder="1" applyAlignment="1" applyProtection="1">
      <alignment horizontal="center" vertical="top"/>
      <protection/>
    </xf>
    <xf numFmtId="0" fontId="30" fillId="21" borderId="0" xfId="62" applyFont="1" applyFill="1" applyAlignment="1" applyProtection="1">
      <alignment vertical="top" wrapText="1"/>
      <protection/>
    </xf>
    <xf numFmtId="0" fontId="30" fillId="21" borderId="0" xfId="62" applyNumberFormat="1" applyFont="1" applyFill="1" applyBorder="1" applyAlignment="1" applyProtection="1">
      <alignment vertical="top" wrapText="1"/>
      <protection/>
    </xf>
    <xf numFmtId="0" fontId="28" fillId="24" borderId="10" xfId="0" applyFont="1" applyFill="1" applyBorder="1" applyAlignment="1" applyProtection="1">
      <alignment horizontal="left" vertical="top" wrapText="1"/>
      <protection/>
    </xf>
    <xf numFmtId="0" fontId="0" fillId="23" borderId="88" xfId="0" applyFont="1" applyFill="1" applyBorder="1" applyAlignment="1" applyProtection="1">
      <alignment horizontal="left" vertical="top"/>
      <protection locked="0"/>
    </xf>
    <xf numFmtId="0" fontId="0" fillId="23" borderId="14" xfId="0" applyFill="1" applyBorder="1" applyAlignment="1" applyProtection="1">
      <alignment horizontal="left" vertical="top"/>
      <protection locked="0"/>
    </xf>
    <xf numFmtId="0" fontId="0" fillId="23" borderId="109" xfId="0" applyFont="1" applyFill="1" applyBorder="1" applyAlignment="1" applyProtection="1">
      <alignment horizontal="left" vertical="top"/>
      <protection locked="0"/>
    </xf>
    <xf numFmtId="0" fontId="0" fillId="23" borderId="88" xfId="0" applyFill="1" applyBorder="1" applyAlignment="1" applyProtection="1">
      <alignment horizontal="left" vertical="top"/>
      <protection locked="0"/>
    </xf>
    <xf numFmtId="0" fontId="0" fillId="23" borderId="89" xfId="0" applyFont="1" applyFill="1" applyBorder="1" applyAlignment="1" applyProtection="1">
      <alignment horizontal="left" vertical="top"/>
      <protection locked="0"/>
    </xf>
    <xf numFmtId="0" fontId="0" fillId="23" borderId="15" xfId="0" applyFill="1" applyBorder="1" applyAlignment="1" applyProtection="1">
      <alignment horizontal="left" vertical="top"/>
      <protection locked="0"/>
    </xf>
    <xf numFmtId="0" fontId="0" fillId="23" borderId="110" xfId="0" applyFont="1" applyFill="1" applyBorder="1" applyAlignment="1" applyProtection="1">
      <alignment horizontal="left" vertical="top"/>
      <protection locked="0"/>
    </xf>
    <xf numFmtId="0" fontId="0" fillId="23" borderId="89" xfId="0" applyFill="1" applyBorder="1" applyAlignment="1" applyProtection="1">
      <alignment horizontal="left" vertical="top"/>
      <protection locked="0"/>
    </xf>
    <xf numFmtId="0" fontId="0" fillId="23" borderId="87" xfId="0" applyFont="1" applyFill="1" applyBorder="1" applyAlignment="1" applyProtection="1">
      <alignment horizontal="left" vertical="top"/>
      <protection locked="0"/>
    </xf>
    <xf numFmtId="0" fontId="0" fillId="23" borderId="13" xfId="0" applyFill="1" applyBorder="1" applyAlignment="1" applyProtection="1">
      <alignment horizontal="left" vertical="top"/>
      <protection locked="0"/>
    </xf>
    <xf numFmtId="0" fontId="0" fillId="23" borderId="108" xfId="0" applyFont="1" applyFill="1" applyBorder="1" applyAlignment="1" applyProtection="1">
      <alignment horizontal="left" vertical="top"/>
      <protection locked="0"/>
    </xf>
    <xf numFmtId="0" fontId="0" fillId="23" borderId="87" xfId="0" applyFill="1" applyBorder="1" applyAlignment="1" applyProtection="1">
      <alignment horizontal="left" vertical="top"/>
      <protection locked="0"/>
    </xf>
    <xf numFmtId="0" fontId="44" fillId="0" borderId="140" xfId="0" applyFont="1" applyBorder="1" applyAlignment="1" applyProtection="1">
      <alignment horizontal="center" vertical="top" wrapText="1"/>
      <protection/>
    </xf>
    <xf numFmtId="0" fontId="44" fillId="0" borderId="141" xfId="0" applyFont="1" applyBorder="1" applyAlignment="1" applyProtection="1">
      <alignment horizontal="center" vertical="top" wrapText="1"/>
      <protection/>
    </xf>
    <xf numFmtId="0" fontId="1" fillId="0" borderId="0" xfId="72" applyProtection="1" quotePrefix="1">
      <alignment/>
      <protection/>
    </xf>
    <xf numFmtId="0" fontId="0" fillId="32" borderId="0" xfId="0" applyFont="1" applyFill="1" applyBorder="1" applyAlignment="1" applyProtection="1">
      <alignment horizontal="left"/>
      <protection/>
    </xf>
    <xf numFmtId="0" fontId="3" fillId="31" borderId="0" xfId="0" applyFont="1" applyFill="1" applyBorder="1" applyAlignment="1" applyProtection="1">
      <alignment horizontal="left" vertical="top" wrapText="1"/>
      <protection/>
    </xf>
    <xf numFmtId="0" fontId="7" fillId="31" borderId="0" xfId="0"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protection/>
    </xf>
    <xf numFmtId="0" fontId="0" fillId="0" borderId="22" xfId="0" applyNumberFormat="1" applyFont="1" applyFill="1" applyBorder="1" applyAlignment="1" applyProtection="1">
      <alignment horizontal="left" vertical="top"/>
      <protection/>
    </xf>
    <xf numFmtId="0" fontId="0" fillId="0" borderId="27" xfId="0" applyNumberFormat="1" applyFont="1" applyFill="1" applyBorder="1" applyAlignment="1" applyProtection="1">
      <alignment horizontal="left" vertical="top"/>
      <protection/>
    </xf>
    <xf numFmtId="0" fontId="0" fillId="0" borderId="81" xfId="0" applyNumberFormat="1" applyFont="1" applyFill="1" applyBorder="1" applyAlignment="1" applyProtection="1">
      <alignment horizontal="left" vertical="top"/>
      <protection/>
    </xf>
    <xf numFmtId="0" fontId="3" fillId="24" borderId="39" xfId="0" applyFont="1" applyFill="1" applyBorder="1" applyAlignment="1" applyProtection="1">
      <alignment horizontal="left"/>
      <protection/>
    </xf>
    <xf numFmtId="0" fontId="3" fillId="31" borderId="39" xfId="0" applyNumberFormat="1" applyFont="1" applyFill="1" applyBorder="1" applyAlignment="1" applyProtection="1">
      <alignment horizontal="left" wrapText="1"/>
      <protection/>
    </xf>
    <xf numFmtId="0" fontId="3" fillId="31" borderId="114" xfId="0" applyNumberFormat="1" applyFont="1" applyFill="1" applyBorder="1" applyAlignment="1" applyProtection="1">
      <alignment horizontal="left" wrapText="1"/>
      <protection/>
    </xf>
    <xf numFmtId="0" fontId="0" fillId="32" borderId="0" xfId="0" applyNumberFormat="1" applyFont="1" applyFill="1" applyBorder="1" applyAlignment="1" applyProtection="1">
      <alignment horizontal="left" vertical="top"/>
      <protection/>
    </xf>
    <xf numFmtId="0" fontId="0" fillId="0" borderId="0" xfId="0" applyFont="1" applyFill="1" applyAlignment="1" applyProtection="1">
      <alignment horizontal="left"/>
      <protection/>
    </xf>
    <xf numFmtId="0" fontId="34" fillId="26" borderId="0" xfId="0" applyFont="1" applyFill="1" applyAlignment="1" applyProtection="1">
      <alignment horizontal="left"/>
      <protection/>
    </xf>
    <xf numFmtId="0" fontId="0" fillId="25" borderId="0" xfId="0" applyFill="1" applyAlignment="1" applyProtection="1">
      <alignment horizontal="left" wrapText="1"/>
      <protection/>
    </xf>
    <xf numFmtId="0" fontId="24" fillId="25" borderId="0" xfId="0" applyFont="1" applyFill="1" applyAlignment="1" applyProtection="1">
      <alignment horizontal="left" wrapText="1"/>
      <protection/>
    </xf>
    <xf numFmtId="0" fontId="3" fillId="29" borderId="0" xfId="0" applyFont="1" applyFill="1" applyAlignment="1" applyProtection="1">
      <alignment horizontal="left" wrapText="1"/>
      <protection/>
    </xf>
  </cellXfs>
  <cellStyles count="7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alculation" xfId="49"/>
    <cellStyle name="Check Cell" xfId="50"/>
    <cellStyle name="Comma [0]" xfId="51"/>
    <cellStyle name="Eingabe" xfId="52"/>
    <cellStyle name="Ergebnis" xfId="53"/>
    <cellStyle name="Erklärender Text" xfId="54"/>
    <cellStyle name="Explanatory Text" xfId="55"/>
    <cellStyle name="Good" xfId="56"/>
    <cellStyle name="Gut" xfId="57"/>
    <cellStyle name="Heading 1" xfId="58"/>
    <cellStyle name="Heading 2" xfId="59"/>
    <cellStyle name="Heading 3" xfId="60"/>
    <cellStyle name="Heading 4" xfId="61"/>
    <cellStyle name="Hyperlink" xfId="62"/>
    <cellStyle name="Input" xfId="63"/>
    <cellStyle name="Comma" xfId="64"/>
    <cellStyle name="Linked Cell" xfId="65"/>
    <cellStyle name="Neutral" xfId="66"/>
    <cellStyle name="Note" xfId="67"/>
    <cellStyle name="Notiz" xfId="68"/>
    <cellStyle name="Output" xfId="69"/>
    <cellStyle name="Percent" xfId="70"/>
    <cellStyle name="Schlecht" xfId="71"/>
    <cellStyle name="Standard_Outline NIMs template 10-09-30" xfId="72"/>
    <cellStyle name="Title" xfId="73"/>
    <cellStyle name="Total"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Warning Text" xfId="84"/>
    <cellStyle name="Zelle überprüfen" xfId="85"/>
  </cellStyles>
  <dxfs count="42">
    <dxf>
      <font>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
      <font>
        <color indexed="10"/>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indexed="26"/>
        </patternFill>
      </fill>
    </dxf>
    <dxf>
      <fill>
        <patternFill>
          <bgColor indexed="26"/>
        </patternFill>
      </fill>
    </dxf>
    <dxf>
      <fill>
        <patternFill>
          <bgColor indexed="26"/>
        </patternFill>
      </fill>
    </dxf>
    <dxf>
      <fill>
        <patternFill patternType="lightUp">
          <bgColor indexed="65"/>
        </patternFill>
      </fill>
    </dxf>
    <dxf>
      <fill>
        <patternFill patternType="lightUp">
          <bgColor indexed="65"/>
        </patternFill>
      </fill>
    </dxf>
    <dxf>
      <fill>
        <patternFill>
          <bgColor indexed="10"/>
        </patternFill>
      </fill>
    </dxf>
    <dxf>
      <fill>
        <patternFill>
          <bgColor indexed="26"/>
        </patternFill>
      </fill>
    </dxf>
    <dxf>
      <fill>
        <patternFill>
          <bgColor indexed="26"/>
        </patternFill>
      </fill>
    </dxf>
    <dxf>
      <fill>
        <patternFill>
          <bgColor indexed="13"/>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JUMP_K_I"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JUMP_A_I3" TargetMode="External" /><Relationship Id="rId6" Type="http://schemas.openxmlformats.org/officeDocument/2006/relationships/hyperlink" Target="JUMP_A_II1" TargetMode="External" /><Relationship Id="rId7" Type="http://schemas.openxmlformats.org/officeDocument/2006/relationships/hyperlink" Target="http://ec.europa.eu/eurostat/ramon/nomenclatures/index.cfm?TargetUrl=LST_CLS_DLD&amp;StrNom=NACE_1_1&amp;StrLanguageCode=EN&amp;StrLayoutCode=HIERARCHIC" TargetMode="External" /><Relationship Id="rId8" Type="http://schemas.openxmlformats.org/officeDocument/2006/relationships/hyperlink" Target="http://ec.europa.eu/eurostat/ramon/nomenclatures/index.cfm?TargetUrl=LST_CLS_DLD&amp;StrNom=NACE_REV2&amp;StrLanguageCode=EN&amp;StrLayoutCode=HIERARCHIC" TargetMode="External" /><Relationship Id="rId9" Type="http://schemas.openxmlformats.org/officeDocument/2006/relationships/hyperlink" Target="JUMP_C_III" TargetMode="External" /><Relationship Id="rId10" Type="http://schemas.openxmlformats.org/officeDocument/2006/relationships/hyperlink" Target="JUMP_D_I" TargetMode="External" /><Relationship Id="rId11" Type="http://schemas.openxmlformats.org/officeDocument/2006/relationships/hyperlink" Target="JUMP_D_II" TargetMode="External" /><Relationship Id="rId12" Type="http://schemas.openxmlformats.org/officeDocument/2006/relationships/hyperlink" Target="JUMP_D_III" TargetMode="External" /><Relationship Id="rId13" Type="http://schemas.openxmlformats.org/officeDocument/2006/relationships/hyperlink" Target="JUMP_D_III2" TargetMode="External" /><Relationship Id="rId14" Type="http://schemas.openxmlformats.org/officeDocument/2006/relationships/hyperlink" Target="JUMP_E_I" TargetMode="External" /><Relationship Id="rId15" Type="http://schemas.openxmlformats.org/officeDocument/2006/relationships/hyperlink" Target="JUMP_E_II_3" TargetMode="External" /><Relationship Id="rId16" Type="http://schemas.openxmlformats.org/officeDocument/2006/relationships/hyperlink" Target="JUMP_E_III" TargetMode="External" /><Relationship Id="rId17" Type="http://schemas.openxmlformats.org/officeDocument/2006/relationships/hyperlink" Target="http://ec.europa.eu/eurostat/ramon/nomenclatures/index.cfm?TargetUrl=LST_CLS_DLD&amp;StrNom=PRD_2007&amp;StrLanguageCode=EN&amp;StrLayoutCode" TargetMode="External" /><Relationship Id="rId18" Type="http://schemas.openxmlformats.org/officeDocument/2006/relationships/hyperlink" Target="http://ec.europa.eu/eurostat/ramon/nomenclatures/index.cfm?TargetUrl=LST_CLS_DLD&amp;StrNom=PRD_2010&amp;StrLanguageCode=EN&amp;StrLayoutCode=HIERARCHIC" TargetMode="External" /><Relationship Id="rId19" Type="http://schemas.openxmlformats.org/officeDocument/2006/relationships/hyperlink" Target="JUMP_G1" TargetMode="External" /><Relationship Id="rId20" Type="http://schemas.openxmlformats.org/officeDocument/2006/relationships/hyperlink" Target="JUMP_G2" TargetMode="External" /><Relationship Id="rId21" Type="http://schemas.openxmlformats.org/officeDocument/2006/relationships/hyperlink" Target="JUMP_G3" TargetMode="External" /><Relationship Id="rId22" Type="http://schemas.openxmlformats.org/officeDocument/2006/relationships/hyperlink" Target="JUMP_G4" TargetMode="External" /><Relationship Id="rId23" Type="http://schemas.openxmlformats.org/officeDocument/2006/relationships/hyperlink" Target="JUMP_G5" TargetMode="External" /><Relationship Id="rId24" Type="http://schemas.openxmlformats.org/officeDocument/2006/relationships/hyperlink" Target="JUMP_G6" TargetMode="External" /><Relationship Id="rId25" Type="http://schemas.openxmlformats.org/officeDocument/2006/relationships/hyperlink" Target="JUMP_K_I" TargetMode="External" /><Relationship Id="rId26" Type="http://schemas.openxmlformats.org/officeDocument/2006/relationships/hyperlink" Target="JUMP_K_III" TargetMode="External" /><Relationship Id="rId27" Type="http://schemas.openxmlformats.org/officeDocument/2006/relationships/hyperlink" Target="JUMP_K_IV" TargetMode="External" /><Relationship Id="rId28" Type="http://schemas.openxmlformats.org/officeDocument/2006/relationships/hyperlink" Target="JUMP_K_V" TargetMode="External" /><Relationship Id="rId29" Type="http://schemas.openxmlformats.org/officeDocument/2006/relationships/hyperlink" Target="JUMP_K_V_Disclaimer" TargetMode="External" /><Relationship Id="rId30" Type="http://schemas.openxmlformats.org/officeDocument/2006/relationships/hyperlink" Target="http://eur-lex.europa.eu/LexUriServ/LexUriServ.do?uri=CONSLEG:2011D0278:20111117:EN:PDF" TargetMode="External" /><Relationship Id="rId31" Type="http://schemas.openxmlformats.org/officeDocument/2006/relationships/hyperlink" Target="http://ec.europa.eu/clima/policies/ets/benchmarking/documentation_en.htm" TargetMode="External" /><Relationship Id="rId32" Type="http://schemas.openxmlformats.org/officeDocument/2006/relationships/hyperlink" Target="JUMP_A_II_1" TargetMode="External" /><Relationship Id="rId33" Type="http://schemas.openxmlformats.org/officeDocument/2006/relationships/hyperlink" Target="JUMP_A_II_4" TargetMode="External" /><Relationship Id="rId34" Type="http://schemas.openxmlformats.org/officeDocument/2006/relationships/hyperlink" Target="JUMP_A_III" TargetMode="External" /><Relationship Id="rId35" Type="http://schemas.openxmlformats.org/officeDocument/2006/relationships/hyperlink" Target="JUMP_A_IV" TargetMode="External" /><Relationship Id="rId36" Type="http://schemas.openxmlformats.org/officeDocument/2006/relationships/hyperlink" Target="JUMP_A_V" TargetMode="External" /><Relationship Id="rId37" Type="http://schemas.openxmlformats.org/officeDocument/2006/relationships/hyperlink" Target="JUMP_K_II" TargetMode="External" /><Relationship Id="rId38" Type="http://schemas.openxmlformats.org/officeDocument/2006/relationships/hyperlink" Target="JUMP_K_V" TargetMode="External" /><Relationship Id="rId3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c.europa.eu/clima/documentation/ets/docs/decision_benchmarking_15_dec_en.pdf." TargetMode="External" /><Relationship Id="rId5" Type="http://schemas.openxmlformats.org/officeDocument/2006/relationships/hyperlink" Target="http://eur-lex.europa.eu/LexUriServ/LexUriServ.do?uri=CONSLEG:2003L0087:20090625:EN:PDF" TargetMode="External" /><Relationship Id="rId6" Type="http://schemas.openxmlformats.org/officeDocument/2006/relationships/hyperlink" Target="http://eur-lex.europa.eu/LexUriServ/LexUriServ.do?uri=CONSLEG:2011D0278:20111117:EN:PDF" TargetMode="External" /><Relationship Id="rId7" Type="http://schemas.openxmlformats.org/officeDocument/2006/relationships/hyperlink" Target="http://ec.europa.eu/clima/policies/ets/benchmarking/documentation_en.htm" TargetMode="External" /><Relationship Id="rId8" Type="http://schemas.openxmlformats.org/officeDocument/2006/relationships/hyperlink" Target="http://ec.europa.eu/clima/policies/ets/benchmarking/documentation_en.ht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ramon/nomenclatures/index.cfm?TargetUrl=LST_CLS_DLD&amp;StrNom=NACE_REV2&amp;StrLanguageCode=EN&amp;StrLayoutCode=HIERARCHIC" TargetMode="External" /><Relationship Id="rId2" Type="http://schemas.openxmlformats.org/officeDocument/2006/relationships/hyperlink" Target="http://ec.europa.eu/eurostat/ramon/nomenclatures/index.cfm?TargetUrl=LST_CLS_DLD&amp;StrNom=NACE_1_1&amp;StrLanguageCode=EN&amp;StrLayoutCode=HIERARCHIC"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Y47"/>
  <sheetViews>
    <sheetView tabSelected="1" zoomScalePageLayoutView="0" workbookViewId="0" topLeftCell="A1">
      <pane ySplit="4" topLeftCell="A5" activePane="bottomLeft" state="frozen"/>
      <selection pane="topLeft" activeCell="A1" sqref="A1"/>
      <selection pane="bottomLeft" activeCell="C6" sqref="C6:M6"/>
    </sheetView>
  </sheetViews>
  <sheetFormatPr defaultColWidth="9.140625" defaultRowHeight="12.75"/>
  <cols>
    <col min="1" max="1" width="3.00390625" style="89" hidden="1" customWidth="1"/>
    <col min="2" max="4" width="4.7109375" style="89" customWidth="1"/>
    <col min="5" max="13" width="12.7109375" style="89" customWidth="1"/>
    <col min="14" max="15" width="9.140625" style="89" customWidth="1"/>
    <col min="16" max="25" width="9.140625" style="594" hidden="1" customWidth="1"/>
    <col min="26" max="16384" width="9.140625" style="89" customWidth="1"/>
  </cols>
  <sheetData>
    <row r="1" spans="1:25" s="4" customFormat="1" ht="13.5" hidden="1" thickBot="1">
      <c r="A1" s="370" t="str">
        <f>Translations!$B$1507</f>
        <v>ausblenden</v>
      </c>
      <c r="P1" s="370" t="str">
        <f>Translations!$B$1507</f>
        <v>ausblenden</v>
      </c>
      <c r="Q1" s="386" t="str">
        <f>Translations!$B$1507</f>
        <v>ausblenden</v>
      </c>
      <c r="R1" s="386" t="str">
        <f>Translations!$B$1507</f>
        <v>ausblenden</v>
      </c>
      <c r="S1" s="386" t="str">
        <f>Translations!$B$1507</f>
        <v>ausblenden</v>
      </c>
      <c r="T1" s="386" t="str">
        <f>Translations!$B$1507</f>
        <v>ausblenden</v>
      </c>
      <c r="U1" s="386" t="str">
        <f>Translations!$B$1507</f>
        <v>ausblenden</v>
      </c>
      <c r="V1" s="386" t="str">
        <f>Translations!$B$1507</f>
        <v>ausblenden</v>
      </c>
      <c r="W1" s="386" t="str">
        <f>Translations!$B$1507</f>
        <v>ausblenden</v>
      </c>
      <c r="X1" s="386" t="str">
        <f>Translations!$B$1507</f>
        <v>ausblenden</v>
      </c>
      <c r="Y1" s="386" t="str">
        <f>Translations!$B$1507</f>
        <v>ausblenden</v>
      </c>
    </row>
    <row r="2" spans="2:25" ht="13.5" customHeight="1" thickBot="1">
      <c r="B2" s="652" t="s">
        <v>279</v>
      </c>
      <c r="C2" s="203" t="str">
        <f>Translations!$B$276</f>
        <v>Navigation area:</v>
      </c>
      <c r="D2" s="204"/>
      <c r="E2" s="204"/>
      <c r="F2" s="655"/>
      <c r="G2" s="655"/>
      <c r="H2" s="655"/>
      <c r="I2" s="655"/>
      <c r="J2" s="655" t="str">
        <f>HYPERLINK(V2,Translations!$B$277)</f>
        <v>Next sheet</v>
      </c>
      <c r="K2" s="655"/>
      <c r="L2" s="655" t="str">
        <f>HYPERLINK(X2,Translations!$B$278)</f>
        <v>Summary</v>
      </c>
      <c r="M2" s="662"/>
      <c r="N2" s="9"/>
      <c r="O2" s="9"/>
      <c r="P2" s="531" t="s">
        <v>1998</v>
      </c>
      <c r="Q2" s="531"/>
      <c r="R2" s="657"/>
      <c r="S2" s="658"/>
      <c r="T2" s="659"/>
      <c r="U2" s="658"/>
      <c r="V2" s="659" t="str">
        <f>"#"&amp;ADDRESS(ROW(D6),COLUMN(D6),,,'b_Guidelines &amp; conditions'!O3)</f>
        <v>#'b_Guidelines &amp; conditions'!$D$6</v>
      </c>
      <c r="W2" s="658"/>
      <c r="X2" s="659" t="str">
        <f>"#"&amp;ADDRESS(ROW(D6),COLUMN(D6),,,D_Summary!Q3)</f>
        <v>#D_Summary!$D$6</v>
      </c>
      <c r="Y2" s="660"/>
    </row>
    <row r="3" spans="2:13" ht="12.75">
      <c r="B3" s="653"/>
      <c r="C3" s="642"/>
      <c r="D3" s="643"/>
      <c r="E3" s="644"/>
      <c r="F3" s="663"/>
      <c r="G3" s="664"/>
      <c r="H3" s="664"/>
      <c r="I3" s="664"/>
      <c r="J3" s="664"/>
      <c r="K3" s="664"/>
      <c r="L3" s="664"/>
      <c r="M3" s="664"/>
    </row>
    <row r="4" spans="2:13" ht="13.5" thickBot="1">
      <c r="B4" s="654"/>
      <c r="C4" s="645"/>
      <c r="D4" s="646"/>
      <c r="E4" s="647"/>
      <c r="F4" s="656"/>
      <c r="G4" s="651"/>
      <c r="H4" s="651"/>
      <c r="I4" s="651"/>
      <c r="J4" s="651"/>
      <c r="K4" s="651"/>
      <c r="L4" s="651"/>
      <c r="M4" s="651"/>
    </row>
    <row r="5" spans="3:6" ht="12.75">
      <c r="C5" s="199"/>
      <c r="F5" s="199"/>
    </row>
    <row r="6" spans="3:13" ht="51" customHeight="1">
      <c r="C6" s="649" t="str">
        <f>Translations!$B$1508</f>
        <v>Application form for merger, splits and transfer of parts of installations</v>
      </c>
      <c r="D6" s="650"/>
      <c r="E6" s="650"/>
      <c r="F6" s="650"/>
      <c r="G6" s="650"/>
      <c r="H6" s="650"/>
      <c r="I6" s="650"/>
      <c r="J6" s="650"/>
      <c r="K6" s="650"/>
      <c r="L6" s="650"/>
      <c r="M6" s="650"/>
    </row>
    <row r="7" spans="3:6" ht="12.75">
      <c r="C7" s="199"/>
      <c r="F7" s="199"/>
    </row>
    <row r="8" spans="2:13" ht="29.25" customHeight="1">
      <c r="B8" s="98"/>
      <c r="C8" s="200" t="str">
        <f>Translations!$B$281</f>
        <v>CONTENTS</v>
      </c>
      <c r="D8" s="98"/>
      <c r="E8" s="98"/>
      <c r="F8" s="200"/>
      <c r="G8" s="200"/>
      <c r="H8" s="200"/>
      <c r="I8" s="200"/>
      <c r="J8" s="200"/>
      <c r="K8" s="200"/>
      <c r="L8" s="200"/>
      <c r="M8" s="200"/>
    </row>
    <row r="9" spans="2:20" ht="12.75">
      <c r="B9" s="230"/>
      <c r="C9" s="2"/>
      <c r="D9" s="636" t="str">
        <f>HYPERLINK(T9,'b_Guidelines &amp; conditions'!C6)</f>
        <v>GUIDELINES AND CONDITIONS</v>
      </c>
      <c r="E9" s="661"/>
      <c r="F9" s="661"/>
      <c r="G9" s="661"/>
      <c r="H9" s="661"/>
      <c r="I9" s="661"/>
      <c r="J9" s="661"/>
      <c r="K9" s="661"/>
      <c r="L9" s="661"/>
      <c r="M9" s="25"/>
      <c r="R9" s="595" t="str">
        <f>Translations!$B$1509</f>
        <v>Hyperlink:</v>
      </c>
      <c r="S9" s="597"/>
      <c r="T9" s="596" t="str">
        <f>"#"&amp;ADDRESS(ROW(JUMP_TOC_Home),COLUMN(JUMP_TOC_Home),,,'b_Guidelines &amp; conditions'!O3)</f>
        <v>#'b_Guidelines &amp; conditions'!$B$6</v>
      </c>
    </row>
    <row r="10" spans="2:13" ht="12.75">
      <c r="B10" s="197" t="s">
        <v>1252</v>
      </c>
      <c r="C10" s="197"/>
      <c r="D10" s="634" t="str">
        <f>A_InstallationData!D6</f>
        <v>Sheet "InstallationData" - GENERAL INFORMATION ON THIS APPLICATION</v>
      </c>
      <c r="E10" s="634"/>
      <c r="F10" s="635"/>
      <c r="G10" s="635"/>
      <c r="H10" s="635"/>
      <c r="I10" s="635"/>
      <c r="J10" s="635"/>
      <c r="K10" s="635"/>
      <c r="L10" s="635"/>
      <c r="M10" s="25"/>
    </row>
    <row r="11" spans="2:20" ht="12.75">
      <c r="B11" s="231"/>
      <c r="C11" s="603" t="s">
        <v>81</v>
      </c>
      <c r="D11" s="636" t="str">
        <f>HYPERLINK(T11,Translations!$B$1505)</f>
        <v>Confirmation of eligibility</v>
      </c>
      <c r="E11" s="637"/>
      <c r="F11" s="637"/>
      <c r="G11" s="637"/>
      <c r="H11" s="637"/>
      <c r="I11" s="637"/>
      <c r="J11" s="637"/>
      <c r="K11" s="637"/>
      <c r="L11" s="496"/>
      <c r="T11" s="596" t="str">
        <f>"#"&amp;ADDRESS(ROW(A_InstallationData!C8),COLUMN(A_InstallationData!C8),,,A_InstallationData!Q3)</f>
        <v>#A_InstallationData!$C$8</v>
      </c>
    </row>
    <row r="12" spans="2:20" ht="12.75">
      <c r="B12" s="231"/>
      <c r="C12" s="603" t="s">
        <v>203</v>
      </c>
      <c r="D12" s="636" t="str">
        <f>HYPERLINK(T12,Translations!$B$344)</f>
        <v>Identification of the Installation</v>
      </c>
      <c r="E12" s="637"/>
      <c r="F12" s="637"/>
      <c r="G12" s="637"/>
      <c r="H12" s="637"/>
      <c r="I12" s="637"/>
      <c r="J12" s="637"/>
      <c r="K12" s="637"/>
      <c r="L12" s="496"/>
      <c r="T12" s="596" t="str">
        <f>"#"&amp;ADDRESS(ROW(A_InstallationData!C30),COLUMN(A_InstallationData!C30),,,A_InstallationData!Q3)</f>
        <v>#A_InstallationData!$C$30</v>
      </c>
    </row>
    <row r="13" spans="2:20" ht="12.75">
      <c r="B13" s="231"/>
      <c r="C13" s="603" t="s">
        <v>414</v>
      </c>
      <c r="D13" s="636" t="str">
        <f>HYPERLINK(T13,Translations!$B$442)</f>
        <v>List of technical connections</v>
      </c>
      <c r="E13" s="637"/>
      <c r="F13" s="637"/>
      <c r="G13" s="637"/>
      <c r="H13" s="637"/>
      <c r="I13" s="637"/>
      <c r="J13" s="637"/>
      <c r="K13" s="637"/>
      <c r="L13" s="496"/>
      <c r="T13" s="596" t="str">
        <f>"#"&amp;ADDRESS(ROW(A_InstallationData!C135),COLUMN(A_InstallationData!C135),,,A_InstallationData!Q3)</f>
        <v>#A_InstallationData!$C$135</v>
      </c>
    </row>
    <row r="14" spans="2:20" ht="12.75">
      <c r="B14" s="231"/>
      <c r="C14" s="598" t="s">
        <v>620</v>
      </c>
      <c r="D14" s="636" t="str">
        <f>HYPERLINK(T14,Translations!$B$1506)</f>
        <v>Identification of all installations involved</v>
      </c>
      <c r="E14" s="637"/>
      <c r="F14" s="637"/>
      <c r="G14" s="637"/>
      <c r="H14" s="637"/>
      <c r="I14" s="637"/>
      <c r="J14" s="637"/>
      <c r="K14" s="637"/>
      <c r="L14" s="496"/>
      <c r="T14" s="596" t="str">
        <f>"#"&amp;ADDRESS(ROW(A_InstallationData!C187),COLUMN(A_InstallationData!C187),,,A_InstallationData!Q3)</f>
        <v>#A_InstallationData!$C$187</v>
      </c>
    </row>
    <row r="15" spans="2:13" ht="12.75" customHeight="1">
      <c r="B15" s="197" t="s">
        <v>1253</v>
      </c>
      <c r="C15" s="599"/>
      <c r="D15" s="648" t="str">
        <f>B_InitialSituation!D6</f>
        <v>Sheet "Initial situation"</v>
      </c>
      <c r="E15" s="648"/>
      <c r="F15" s="635"/>
      <c r="G15" s="635"/>
      <c r="H15" s="635"/>
      <c r="I15" s="635"/>
      <c r="J15" s="635"/>
      <c r="K15" s="635"/>
      <c r="L15" s="635"/>
      <c r="M15" s="25"/>
    </row>
    <row r="16" spans="2:20" ht="12.75">
      <c r="B16" s="231"/>
      <c r="C16" s="603" t="s">
        <v>81</v>
      </c>
      <c r="D16" s="636" t="str">
        <f>HYPERLINK(T16,B_InitialSituation!$D$8)</f>
        <v>Situation BEFORE the merger of installations</v>
      </c>
      <c r="E16" s="637"/>
      <c r="F16" s="637"/>
      <c r="G16" s="637"/>
      <c r="H16" s="637"/>
      <c r="I16" s="637"/>
      <c r="J16" s="637"/>
      <c r="K16" s="637"/>
      <c r="L16" s="496"/>
      <c r="T16" s="596" t="str">
        <f>"#"&amp;ADDRESS(ROW(B_InitialSituation!C8),COLUMN(B_InitialSituation!C8),,,B_InitialSituation!Q3)</f>
        <v>#B_InitialSituation!$C$8</v>
      </c>
    </row>
    <row r="17" spans="2:13" ht="12.75" customHeight="1">
      <c r="B17" s="197" t="s">
        <v>1254</v>
      </c>
      <c r="C17" s="599"/>
      <c r="D17" s="648" t="str">
        <f>C_MergerSplitTransfer!D6</f>
        <v>Sheet "Merger, Split and Transfer"</v>
      </c>
      <c r="E17" s="648"/>
      <c r="F17" s="635"/>
      <c r="G17" s="635"/>
      <c r="H17" s="635"/>
      <c r="I17" s="635"/>
      <c r="J17" s="635"/>
      <c r="K17" s="635"/>
      <c r="L17" s="635"/>
      <c r="M17" s="25"/>
    </row>
    <row r="18" spans="2:20" ht="12.75">
      <c r="B18" s="231"/>
      <c r="C18" s="603" t="s">
        <v>81</v>
      </c>
      <c r="D18" s="636" t="str">
        <f>HYPERLINK(T18,C_MergerSplitTransfer!D8)</f>
        <v>Transfer of allowances, capacity and activity level</v>
      </c>
      <c r="E18" s="637"/>
      <c r="F18" s="637"/>
      <c r="G18" s="637"/>
      <c r="H18" s="637"/>
      <c r="I18" s="637"/>
      <c r="J18" s="637"/>
      <c r="K18" s="637"/>
      <c r="L18" s="496"/>
      <c r="T18" s="596" t="str">
        <f>"#"&amp;ADDRESS(ROW(C_MergerSplitTransfer!C8),COLUMN(C_MergerSplitTransfer!C8),,,C_MergerSplitTransfer!Q3)</f>
        <v>#C_MergerSplitTransfer!$C$8</v>
      </c>
    </row>
    <row r="19" spans="2:13" ht="12.75">
      <c r="B19" s="197" t="s">
        <v>1255</v>
      </c>
      <c r="C19" s="599"/>
      <c r="D19" s="634" t="str">
        <f>D_Summary!D6</f>
        <v>Sheet "Summary"</v>
      </c>
      <c r="E19" s="634"/>
      <c r="F19" s="635"/>
      <c r="G19" s="635"/>
      <c r="H19" s="635"/>
      <c r="I19" s="635"/>
      <c r="J19" s="635"/>
      <c r="K19" s="635"/>
      <c r="L19" s="635"/>
      <c r="M19" s="25"/>
    </row>
    <row r="20" spans="2:20" ht="12.75">
      <c r="B20" s="231"/>
      <c r="C20" s="603" t="s">
        <v>81</v>
      </c>
      <c r="D20" s="636" t="str">
        <f>HYPERLINK(T20,D_Summary!$D$8)</f>
        <v>Installations involved in the merger, split or transfer</v>
      </c>
      <c r="E20" s="637"/>
      <c r="F20" s="637"/>
      <c r="G20" s="637"/>
      <c r="H20" s="637"/>
      <c r="I20" s="637"/>
      <c r="J20" s="637"/>
      <c r="K20" s="637"/>
      <c r="L20" s="496"/>
      <c r="T20" s="596" t="str">
        <f>"#"&amp;ADDRESS(ROW(D_Summary!C7),COLUMN(D_Summary!C7),,,D_Summary!$Q$3)</f>
        <v>#D_Summary!$C$7</v>
      </c>
    </row>
    <row r="21" spans="2:20" ht="12.75">
      <c r="B21" s="231"/>
      <c r="C21" s="603" t="s">
        <v>203</v>
      </c>
      <c r="D21" s="636" t="str">
        <f>HYPERLINK(T21,D_Summary!$D$26)</f>
        <v>Installation data</v>
      </c>
      <c r="E21" s="637"/>
      <c r="F21" s="637"/>
      <c r="G21" s="637"/>
      <c r="H21" s="637"/>
      <c r="I21" s="637"/>
      <c r="J21" s="637"/>
      <c r="K21" s="637"/>
      <c r="L21" s="496"/>
      <c r="T21" s="596" t="str">
        <f>"#"&amp;ADDRESS(ROW(D_Summary!C26),COLUMN(D_Summary!C26),,,D_Summary!$Q$3)</f>
        <v>#D_Summary!$C$26</v>
      </c>
    </row>
    <row r="22" spans="2:20" ht="12.75">
      <c r="B22" s="231"/>
      <c r="C22" s="603" t="s">
        <v>414</v>
      </c>
      <c r="D22" s="636" t="str">
        <f>HYPERLINK(T22,D_Summary!$D$65)</f>
        <v>New allocation</v>
      </c>
      <c r="E22" s="637"/>
      <c r="F22" s="637"/>
      <c r="G22" s="637"/>
      <c r="H22" s="637"/>
      <c r="I22" s="637"/>
      <c r="J22" s="637"/>
      <c r="K22" s="637"/>
      <c r="L22" s="496"/>
      <c r="T22" s="596" t="str">
        <f>"#"&amp;ADDRESS(ROW(D_Summary!C65),COLUMN(D_Summary!C65),,,D_Summary!$Q$3)</f>
        <v>#D_Summary!$C$65</v>
      </c>
    </row>
    <row r="23" spans="2:13" ht="12.75">
      <c r="B23" s="197" t="s">
        <v>1261</v>
      </c>
      <c r="C23" s="599"/>
      <c r="D23" s="634" t="str">
        <f>I_MSspecific!C5</f>
        <v>Sheet "MSspecific" -  ADDITIONAL DATA REQUIREMENTS BY THE MEMBER STATE</v>
      </c>
      <c r="E23" s="634"/>
      <c r="F23" s="635"/>
      <c r="G23" s="635"/>
      <c r="H23" s="635"/>
      <c r="I23" s="635"/>
      <c r="J23" s="635"/>
      <c r="K23" s="635"/>
      <c r="L23" s="635"/>
      <c r="M23" s="25"/>
    </row>
    <row r="24" spans="2:12" ht="12.75">
      <c r="B24" s="231"/>
      <c r="C24" s="603" t="s">
        <v>81</v>
      </c>
      <c r="D24" s="636" t="str">
        <f>I_MSspecific!C7</f>
        <v>To be defined by the Member State</v>
      </c>
      <c r="E24" s="636"/>
      <c r="F24" s="636"/>
      <c r="G24" s="636"/>
      <c r="H24" s="636"/>
      <c r="I24" s="636"/>
      <c r="J24" s="636"/>
      <c r="K24" s="636"/>
      <c r="L24" s="496"/>
    </row>
    <row r="25" spans="2:13" ht="12.75">
      <c r="B25" s="197" t="s">
        <v>1263</v>
      </c>
      <c r="C25" s="599"/>
      <c r="D25" s="634" t="str">
        <f>J_Comments!C5</f>
        <v>Sheet "Comments" -  COMMENTS AND FURTHER INFORMATION</v>
      </c>
      <c r="E25" s="634"/>
      <c r="F25" s="635"/>
      <c r="G25" s="635"/>
      <c r="H25" s="635"/>
      <c r="I25" s="635"/>
      <c r="J25" s="635"/>
      <c r="K25" s="635"/>
      <c r="L25" s="635"/>
      <c r="M25" s="25"/>
    </row>
    <row r="26" spans="2:12" ht="12.75">
      <c r="B26" s="231"/>
      <c r="C26" s="603" t="s">
        <v>81</v>
      </c>
      <c r="D26" s="636" t="str">
        <f>J_Comments!C7</f>
        <v>Documents supporting this report</v>
      </c>
      <c r="E26" s="636"/>
      <c r="F26" s="636"/>
      <c r="G26" s="636"/>
      <c r="H26" s="636"/>
      <c r="I26" s="636"/>
      <c r="J26" s="636"/>
      <c r="K26" s="636"/>
      <c r="L26" s="496"/>
    </row>
    <row r="27" spans="2:12" ht="12.75">
      <c r="B27" s="231"/>
      <c r="C27" s="603" t="s">
        <v>203</v>
      </c>
      <c r="D27" s="636" t="str">
        <f>J_Comments!C28</f>
        <v>Free space for all kinds of supplemental information</v>
      </c>
      <c r="E27" s="636"/>
      <c r="F27" s="636"/>
      <c r="G27" s="636"/>
      <c r="H27" s="636"/>
      <c r="I27" s="636"/>
      <c r="J27" s="636"/>
      <c r="K27" s="636"/>
      <c r="L27" s="496"/>
    </row>
    <row r="28" spans="2:12" ht="12.75">
      <c r="B28" s="231"/>
      <c r="C28" s="600"/>
      <c r="D28" s="1"/>
      <c r="E28" s="1"/>
      <c r="F28" s="1"/>
      <c r="G28" s="1"/>
      <c r="H28" s="1"/>
      <c r="I28" s="1"/>
      <c r="J28" s="1"/>
      <c r="K28" s="1"/>
      <c r="L28" s="206"/>
    </row>
    <row r="29" spans="2:12" ht="12.75">
      <c r="B29" s="231"/>
      <c r="C29" s="232"/>
      <c r="D29" s="1"/>
      <c r="E29" s="1"/>
      <c r="F29" s="1"/>
      <c r="G29" s="1"/>
      <c r="H29" s="1"/>
      <c r="I29" s="1"/>
      <c r="J29" s="1"/>
      <c r="K29" s="1"/>
      <c r="L29" s="206"/>
    </row>
    <row r="30" spans="2:13" ht="12.75">
      <c r="B30" s="231"/>
      <c r="C30" s="231"/>
      <c r="D30" s="231"/>
      <c r="E30" s="231"/>
      <c r="F30" s="206"/>
      <c r="G30" s="206"/>
      <c r="H30" s="206"/>
      <c r="I30" s="206"/>
      <c r="J30" s="206"/>
      <c r="K30" s="206"/>
      <c r="L30" s="206"/>
      <c r="M30" s="25"/>
    </row>
    <row r="31" spans="2:13" ht="13.5" thickBot="1">
      <c r="B31" s="231"/>
      <c r="C31" s="231"/>
      <c r="D31" s="231"/>
      <c r="E31" s="231"/>
      <c r="F31" s="206"/>
      <c r="G31" s="206"/>
      <c r="H31" s="206"/>
      <c r="I31" s="206"/>
      <c r="J31" s="206"/>
      <c r="K31" s="206"/>
      <c r="L31" s="206"/>
      <c r="M31" s="25"/>
    </row>
    <row r="32" spans="2:12" ht="12.75">
      <c r="B32" s="98"/>
      <c r="C32" s="98"/>
      <c r="D32" s="233" t="str">
        <f>Translations!$B$282</f>
        <v>Language version:</v>
      </c>
      <c r="E32" s="234"/>
      <c r="F32" s="234"/>
      <c r="G32" s="235"/>
      <c r="H32" s="236" t="str">
        <f>VersionDocumentation!B5</f>
        <v>English</v>
      </c>
      <c r="I32" s="236"/>
      <c r="J32" s="236"/>
      <c r="K32" s="237"/>
      <c r="L32" s="98"/>
    </row>
    <row r="33" spans="2:12" ht="13.5" thickBot="1">
      <c r="B33" s="98"/>
      <c r="C33" s="98"/>
      <c r="D33" s="238" t="str">
        <f>Translations!$B$283</f>
        <v>Reference filename:</v>
      </c>
      <c r="E33" s="239"/>
      <c r="F33" s="239"/>
      <c r="G33" s="240"/>
      <c r="H33" s="241" t="str">
        <f>VersionDocumentation!C3</f>
        <v>NE&amp;C MergerSplit_2015-02-09_COM_en.XLS</v>
      </c>
      <c r="I33" s="241"/>
      <c r="J33" s="241"/>
      <c r="K33" s="242"/>
      <c r="L33" s="98"/>
    </row>
    <row r="34" spans="2:12" ht="12.75">
      <c r="B34" s="98"/>
      <c r="C34" s="98"/>
      <c r="D34" s="98"/>
      <c r="E34" s="98"/>
      <c r="F34" s="98"/>
      <c r="G34" s="98"/>
      <c r="H34" s="98"/>
      <c r="I34" s="98"/>
      <c r="J34" s="98"/>
      <c r="K34" s="98"/>
      <c r="L34" s="98"/>
    </row>
    <row r="35" spans="2:12" ht="12.75">
      <c r="B35" s="98"/>
      <c r="C35" s="98"/>
      <c r="D35" s="98"/>
      <c r="E35" s="98"/>
      <c r="F35" s="98"/>
      <c r="G35" s="98"/>
      <c r="H35" s="98"/>
      <c r="I35" s="98"/>
      <c r="J35" s="98"/>
      <c r="K35" s="98"/>
      <c r="L35" s="98"/>
    </row>
    <row r="36" spans="2:12" ht="13.5" thickBot="1">
      <c r="B36" s="98"/>
      <c r="C36" s="98"/>
      <c r="D36" s="221" t="str">
        <f>Translations!$B$284</f>
        <v>Information about this file:</v>
      </c>
      <c r="E36" s="221"/>
      <c r="F36" s="221"/>
      <c r="G36" s="98"/>
      <c r="H36" s="98"/>
      <c r="I36" s="98"/>
      <c r="J36" s="98"/>
      <c r="K36" s="98"/>
      <c r="L36" s="98"/>
    </row>
    <row r="37" spans="2:12" ht="12.75">
      <c r="B37" s="98"/>
      <c r="C37" s="98"/>
      <c r="D37" s="233" t="str">
        <f>Translations!$B$285</f>
        <v>Installation name:</v>
      </c>
      <c r="E37" s="234"/>
      <c r="F37" s="234"/>
      <c r="G37" s="235"/>
      <c r="H37" s="236">
        <f>IF(ISBLANK(A_InstallationData!J36),"",A_InstallationData!J36)</f>
      </c>
      <c r="I37" s="236"/>
      <c r="J37" s="236"/>
      <c r="K37" s="237"/>
      <c r="L37" s="98"/>
    </row>
    <row r="38" spans="2:12" ht="13.5" thickBot="1">
      <c r="B38" s="98"/>
      <c r="C38" s="98"/>
      <c r="D38" s="238" t="str">
        <f>Translations!$B$286</f>
        <v>Unique Installation Identifier:</v>
      </c>
      <c r="E38" s="239"/>
      <c r="F38" s="239"/>
      <c r="G38" s="240"/>
      <c r="H38" s="241">
        <f>IF(CNTR_UniqueID="","",CNTR_UniqueID)</f>
      </c>
      <c r="I38" s="241"/>
      <c r="J38" s="241"/>
      <c r="K38" s="242"/>
      <c r="L38" s="98"/>
    </row>
    <row r="39" spans="2:12" ht="12.75">
      <c r="B39" s="98"/>
      <c r="C39" s="98"/>
      <c r="D39" s="98"/>
      <c r="E39" s="98"/>
      <c r="F39" s="98"/>
      <c r="G39" s="98"/>
      <c r="H39" s="98"/>
      <c r="I39" s="98"/>
      <c r="J39" s="98"/>
      <c r="K39" s="98"/>
      <c r="L39" s="98"/>
    </row>
    <row r="40" spans="2:12" ht="32.25" customHeight="1">
      <c r="B40" s="98"/>
      <c r="C40" s="98"/>
      <c r="D40" s="640" t="str">
        <f>Translations!$B$287</f>
        <v>If your competent authority requires you to hand in a signed paper copy of the report, please use the space below for signature:</v>
      </c>
      <c r="E40" s="640"/>
      <c r="F40" s="640"/>
      <c r="G40" s="641"/>
      <c r="H40" s="641"/>
      <c r="I40" s="641"/>
      <c r="J40" s="641"/>
      <c r="K40" s="641"/>
      <c r="L40" s="98"/>
    </row>
    <row r="41" spans="2:12" ht="12.75">
      <c r="B41" s="98"/>
      <c r="C41" s="98"/>
      <c r="D41" s="98"/>
      <c r="E41" s="98"/>
      <c r="F41" s="98"/>
      <c r="G41" s="202"/>
      <c r="H41" s="98"/>
      <c r="I41" s="98"/>
      <c r="J41" s="98"/>
      <c r="K41" s="98"/>
      <c r="L41" s="98"/>
    </row>
    <row r="42" spans="2:12" ht="12.75">
      <c r="B42" s="98"/>
      <c r="C42" s="98"/>
      <c r="D42" s="98"/>
      <c r="E42" s="98"/>
      <c r="F42" s="98"/>
      <c r="G42" s="98"/>
      <c r="H42" s="98"/>
      <c r="I42" s="98"/>
      <c r="J42" s="98"/>
      <c r="K42" s="98"/>
      <c r="L42" s="98"/>
    </row>
    <row r="43" spans="2:12" ht="12.75">
      <c r="B43" s="98"/>
      <c r="C43" s="98"/>
      <c r="D43" s="98"/>
      <c r="E43" s="98"/>
      <c r="F43" s="98"/>
      <c r="G43" s="98"/>
      <c r="H43" s="98"/>
      <c r="I43" s="98"/>
      <c r="J43" s="98"/>
      <c r="K43" s="98"/>
      <c r="L43" s="98"/>
    </row>
    <row r="44" spans="2:12" ht="12.75">
      <c r="B44" s="98"/>
      <c r="C44" s="98"/>
      <c r="D44" s="98"/>
      <c r="E44" s="98"/>
      <c r="F44" s="98"/>
      <c r="G44" s="98"/>
      <c r="H44" s="98"/>
      <c r="I44" s="98"/>
      <c r="J44" s="98"/>
      <c r="K44" s="98"/>
      <c r="L44" s="98"/>
    </row>
    <row r="45" spans="2:12" ht="12.75">
      <c r="B45" s="98"/>
      <c r="C45" s="98"/>
      <c r="D45" s="243"/>
      <c r="E45" s="243"/>
      <c r="F45" s="243"/>
      <c r="G45" s="98"/>
      <c r="H45" s="243"/>
      <c r="I45" s="98"/>
      <c r="J45" s="98"/>
      <c r="K45" s="98"/>
      <c r="L45" s="98"/>
    </row>
    <row r="46" spans="2:12" ht="25.5" customHeight="1">
      <c r="B46" s="98"/>
      <c r="C46" s="98"/>
      <c r="D46" s="638" t="str">
        <f>Translations!$B$288</f>
        <v>Date</v>
      </c>
      <c r="E46" s="638"/>
      <c r="F46" s="638"/>
      <c r="G46" s="202"/>
      <c r="H46" s="638" t="str">
        <f>Translations!$B$289</f>
        <v>Name and Signature of 
legally responsible person</v>
      </c>
      <c r="I46" s="639"/>
      <c r="J46" s="639"/>
      <c r="K46" s="639"/>
      <c r="L46" s="98"/>
    </row>
    <row r="47" spans="9:12" ht="12.75">
      <c r="I47" s="198"/>
      <c r="J47" s="198"/>
      <c r="K47" s="198"/>
      <c r="L47" s="198"/>
    </row>
  </sheetData>
  <sheetProtection sheet="1" objects="1" scenarios="1" formatCells="0" formatColumns="0" formatRows="0"/>
  <mergeCells count="42">
    <mergeCell ref="R2:S2"/>
    <mergeCell ref="T2:U2"/>
    <mergeCell ref="V2:W2"/>
    <mergeCell ref="X2:Y2"/>
    <mergeCell ref="D9:L9"/>
    <mergeCell ref="L2:M2"/>
    <mergeCell ref="F3:G3"/>
    <mergeCell ref="H3:I3"/>
    <mergeCell ref="J3:K3"/>
    <mergeCell ref="L3:M3"/>
    <mergeCell ref="C6:M6"/>
    <mergeCell ref="L4:M4"/>
    <mergeCell ref="D18:K18"/>
    <mergeCell ref="B2:B4"/>
    <mergeCell ref="F2:G2"/>
    <mergeCell ref="H2:I2"/>
    <mergeCell ref="J2:K2"/>
    <mergeCell ref="F4:G4"/>
    <mergeCell ref="H4:I4"/>
    <mergeCell ref="J4:K4"/>
    <mergeCell ref="C3:E3"/>
    <mergeCell ref="C4:E4"/>
    <mergeCell ref="D16:K16"/>
    <mergeCell ref="D17:L17"/>
    <mergeCell ref="D15:L15"/>
    <mergeCell ref="D10:L10"/>
    <mergeCell ref="D11:K11"/>
    <mergeCell ref="D12:K12"/>
    <mergeCell ref="D13:K13"/>
    <mergeCell ref="D14:K14"/>
    <mergeCell ref="H46:K46"/>
    <mergeCell ref="D46:F46"/>
    <mergeCell ref="D23:L23"/>
    <mergeCell ref="D27:K27"/>
    <mergeCell ref="D26:K26"/>
    <mergeCell ref="D40:K40"/>
    <mergeCell ref="D19:L19"/>
    <mergeCell ref="D22:K22"/>
    <mergeCell ref="D20:K20"/>
    <mergeCell ref="D24:K24"/>
    <mergeCell ref="D25:L25"/>
    <mergeCell ref="D21:K21"/>
  </mergeCells>
  <hyperlinks>
    <hyperlink ref="D24:K24" location="JUMP_I_Top" display="JUMP_I_Top"/>
    <hyperlink ref="D26:K26" location="JUMP_J_Top" display="JUMP_J_Top"/>
    <hyperlink ref="D27:K27" location="JUMP_J_II" display="JUMP_J_II"/>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codeName="Tabelle15">
    <tabColor indexed="12"/>
    <pageSetUpPr fitToPage="1"/>
  </sheetPr>
  <dimension ref="A1:G73"/>
  <sheetViews>
    <sheetView zoomScalePageLayoutView="0" workbookViewId="0" topLeftCell="A1">
      <selection activeCell="A1" sqref="A1:IV16384"/>
    </sheetView>
  </sheetViews>
  <sheetFormatPr defaultColWidth="9.140625" defaultRowHeight="12.75"/>
  <cols>
    <col min="1" max="1" width="50.8515625" style="85" customWidth="1"/>
    <col min="2" max="16384" width="9.140625" style="85" customWidth="1"/>
  </cols>
  <sheetData>
    <row r="1" spans="1:7" ht="12.75">
      <c r="A1" s="117" t="s">
        <v>195</v>
      </c>
      <c r="B1" s="117" t="s">
        <v>198</v>
      </c>
      <c r="C1" s="117" t="s">
        <v>199</v>
      </c>
      <c r="D1" s="118"/>
      <c r="E1" s="118" t="s">
        <v>311</v>
      </c>
      <c r="F1" s="118"/>
      <c r="G1" s="118"/>
    </row>
    <row r="2" spans="1:5" ht="12.75">
      <c r="A2" s="85" t="s">
        <v>447</v>
      </c>
      <c r="B2" s="96" t="b">
        <v>1</v>
      </c>
      <c r="E2" s="212" t="b">
        <v>1</v>
      </c>
    </row>
    <row r="3" spans="1:5" ht="12.75">
      <c r="A3" s="85" t="s">
        <v>461</v>
      </c>
      <c r="B3" s="96" t="b">
        <v>1</v>
      </c>
      <c r="E3" s="212" t="b">
        <v>1</v>
      </c>
    </row>
    <row r="4" spans="1:5" ht="12.75">
      <c r="A4" s="85" t="s">
        <v>1697</v>
      </c>
      <c r="B4" s="96" t="b">
        <v>1</v>
      </c>
      <c r="E4" s="212" t="b">
        <v>1</v>
      </c>
    </row>
    <row r="5" spans="1:5" ht="12.75">
      <c r="A5" s="85" t="s">
        <v>1699</v>
      </c>
      <c r="B5" s="96" t="b">
        <v>1</v>
      </c>
      <c r="E5" s="212" t="b">
        <v>1</v>
      </c>
    </row>
    <row r="10" s="121" customFormat="1" ht="12.75">
      <c r="A10" s="121" t="s">
        <v>1888</v>
      </c>
    </row>
    <row r="11" ht="12.75">
      <c r="A11" s="113" t="s">
        <v>1890</v>
      </c>
    </row>
    <row r="12" ht="12.75">
      <c r="A12" s="137" t="s">
        <v>1891</v>
      </c>
    </row>
    <row r="13" ht="12.75">
      <c r="A13" s="137" t="s">
        <v>1892</v>
      </c>
    </row>
    <row r="14" ht="12.75">
      <c r="A14" s="137" t="s">
        <v>768</v>
      </c>
    </row>
    <row r="15" ht="13.5" thickBot="1">
      <c r="A15" s="137" t="s">
        <v>769</v>
      </c>
    </row>
    <row r="16" spans="1:3" ht="36.75" thickTop="1">
      <c r="A16" s="138" t="s">
        <v>621</v>
      </c>
      <c r="B16" s="139" t="s">
        <v>622</v>
      </c>
      <c r="C16" s="139" t="s">
        <v>624</v>
      </c>
    </row>
    <row r="17" spans="1:3" ht="14.25" thickBot="1">
      <c r="A17" s="140"/>
      <c r="B17" s="141" t="s">
        <v>623</v>
      </c>
      <c r="C17" s="141" t="s">
        <v>625</v>
      </c>
    </row>
    <row r="18" spans="1:3" ht="36">
      <c r="A18" s="142"/>
      <c r="B18" s="143" t="s">
        <v>1876</v>
      </c>
      <c r="C18" s="971" t="s">
        <v>1876</v>
      </c>
    </row>
    <row r="19" spans="1:3" ht="24.75" thickBot="1">
      <c r="A19" s="144"/>
      <c r="B19" s="145" t="s">
        <v>1877</v>
      </c>
      <c r="C19" s="972"/>
    </row>
    <row r="20" spans="1:3" ht="14.25" thickBot="1" thickTop="1">
      <c r="A20" s="146" t="str">
        <f>Translations!B224</f>
        <v>Crude Oil</v>
      </c>
      <c r="B20" s="147">
        <v>73.3</v>
      </c>
      <c r="C20" s="148">
        <v>42.3</v>
      </c>
    </row>
    <row r="21" spans="1:3" ht="13.5" thickBot="1">
      <c r="A21" s="149" t="str">
        <f>Translations!B225</f>
        <v>Orimulsion</v>
      </c>
      <c r="B21" s="150">
        <v>76.9</v>
      </c>
      <c r="C21" s="151">
        <v>27.5</v>
      </c>
    </row>
    <row r="22" spans="1:3" ht="13.5" thickBot="1">
      <c r="A22" s="149" t="str">
        <f>Translations!B226</f>
        <v>Natural Gas Liquids</v>
      </c>
      <c r="B22" s="150">
        <v>64.1</v>
      </c>
      <c r="C22" s="151">
        <v>44.2</v>
      </c>
    </row>
    <row r="23" spans="1:3" ht="13.5" thickBot="1">
      <c r="A23" s="149" t="str">
        <f>Translations!B227</f>
        <v>Motor Gasoline</v>
      </c>
      <c r="B23" s="150">
        <v>69.2</v>
      </c>
      <c r="C23" s="151">
        <v>44.3</v>
      </c>
    </row>
    <row r="24" spans="1:3" ht="13.5" thickBot="1">
      <c r="A24" s="149" t="str">
        <f>Translations!B228</f>
        <v>Kerosene</v>
      </c>
      <c r="B24" s="150">
        <v>71.8</v>
      </c>
      <c r="C24" s="151">
        <v>43.8</v>
      </c>
    </row>
    <row r="25" spans="1:3" ht="13.5" thickBot="1">
      <c r="A25" s="149" t="str">
        <f>Translations!B229</f>
        <v>Aviation gasoline (AvGas)</v>
      </c>
      <c r="B25" s="150">
        <v>70</v>
      </c>
      <c r="C25" s="151">
        <v>44.3</v>
      </c>
    </row>
    <row r="26" spans="1:3" ht="13.5" thickBot="1">
      <c r="A26" s="149" t="str">
        <f>Translations!B230</f>
        <v>Jet gasoline (Jet B)</v>
      </c>
      <c r="B26" s="150">
        <v>70</v>
      </c>
      <c r="C26" s="151">
        <v>44.3</v>
      </c>
    </row>
    <row r="27" spans="1:3" ht="13.5" thickBot="1">
      <c r="A27" s="149" t="str">
        <f>Translations!B231</f>
        <v>Jet kerosene (jet A1 or jet A)</v>
      </c>
      <c r="B27" s="150">
        <v>71.5</v>
      </c>
      <c r="C27" s="151">
        <v>44.1</v>
      </c>
    </row>
    <row r="28" spans="1:3" ht="13.5" thickBot="1">
      <c r="A28" s="149" t="str">
        <f>Translations!B232</f>
        <v>Shale Oil</v>
      </c>
      <c r="B28" s="150">
        <v>73.3</v>
      </c>
      <c r="C28" s="151">
        <v>38.1</v>
      </c>
    </row>
    <row r="29" spans="1:3" ht="13.5" thickBot="1">
      <c r="A29" s="149" t="str">
        <f>Translations!B233</f>
        <v>Gas/Diesel Oil</v>
      </c>
      <c r="B29" s="150">
        <v>74</v>
      </c>
      <c r="C29" s="151">
        <v>43</v>
      </c>
    </row>
    <row r="30" spans="1:3" ht="13.5" thickBot="1">
      <c r="A30" s="149" t="str">
        <f>Translations!B234</f>
        <v>Residual Fuel Oil</v>
      </c>
      <c r="B30" s="150">
        <v>77.3</v>
      </c>
      <c r="C30" s="151">
        <v>40.4</v>
      </c>
    </row>
    <row r="31" spans="1:3" ht="13.5" thickBot="1">
      <c r="A31" s="149" t="str">
        <f>Translations!B235</f>
        <v>Liquefied Petroleum Gases</v>
      </c>
      <c r="B31" s="150">
        <v>63</v>
      </c>
      <c r="C31" s="151">
        <v>47.3</v>
      </c>
    </row>
    <row r="32" spans="1:3" ht="13.5" thickBot="1">
      <c r="A32" s="149" t="str">
        <f>Translations!B236</f>
        <v>Ethane</v>
      </c>
      <c r="B32" s="150">
        <v>61.6</v>
      </c>
      <c r="C32" s="151" t="s">
        <v>1881</v>
      </c>
    </row>
    <row r="33" spans="1:3" ht="13.5" thickBot="1">
      <c r="A33" s="149" t="str">
        <f>Translations!B237</f>
        <v>Naphtha</v>
      </c>
      <c r="B33" s="150">
        <v>73.3</v>
      </c>
      <c r="C33" s="151">
        <v>44.5</v>
      </c>
    </row>
    <row r="34" spans="1:3" ht="13.5" thickBot="1">
      <c r="A34" s="149" t="str">
        <f>Translations!B238</f>
        <v>Bitumen</v>
      </c>
      <c r="B34" s="150">
        <v>80.6</v>
      </c>
      <c r="C34" s="151">
        <v>40.2</v>
      </c>
    </row>
    <row r="35" spans="1:3" ht="13.5" thickBot="1">
      <c r="A35" s="149" t="str">
        <f>Translations!B239</f>
        <v>Lubricants</v>
      </c>
      <c r="B35" s="150">
        <v>73.3</v>
      </c>
      <c r="C35" s="151">
        <v>40.2</v>
      </c>
    </row>
    <row r="36" spans="1:3" ht="13.5" thickBot="1">
      <c r="A36" s="149" t="str">
        <f>Translations!B240</f>
        <v>Petroleum Coke</v>
      </c>
      <c r="B36" s="150">
        <v>97.5</v>
      </c>
      <c r="C36" s="151">
        <v>32.5</v>
      </c>
    </row>
    <row r="37" spans="1:3" ht="13.5" thickBot="1">
      <c r="A37" s="149" t="str">
        <f>Translations!B241</f>
        <v>Refinery Feedstocks</v>
      </c>
      <c r="B37" s="150">
        <v>73.3</v>
      </c>
      <c r="C37" s="151">
        <v>43</v>
      </c>
    </row>
    <row r="38" spans="1:3" ht="13.5" thickBot="1">
      <c r="A38" s="149" t="str">
        <f>Translations!B242</f>
        <v>Refinery Gas</v>
      </c>
      <c r="B38" s="150">
        <v>51.3</v>
      </c>
      <c r="C38" s="151">
        <v>49.5</v>
      </c>
    </row>
    <row r="39" spans="1:3" ht="13.5" thickBot="1">
      <c r="A39" s="149" t="str">
        <f>Translations!B243</f>
        <v>Paraffin Waxes</v>
      </c>
      <c r="B39" s="150">
        <v>73.3</v>
      </c>
      <c r="C39" s="151">
        <v>40.2</v>
      </c>
    </row>
    <row r="40" spans="1:3" ht="13.5" thickBot="1">
      <c r="A40" s="149" t="str">
        <f>Translations!B244</f>
        <v>White Spirit &amp; SBP</v>
      </c>
      <c r="B40" s="150">
        <v>73.3</v>
      </c>
      <c r="C40" s="151">
        <v>40.2</v>
      </c>
    </row>
    <row r="41" spans="1:3" ht="13.5" thickBot="1">
      <c r="A41" s="149" t="str">
        <f>Translations!B245</f>
        <v>Other Petroleum Products</v>
      </c>
      <c r="B41" s="150">
        <v>73.3</v>
      </c>
      <c r="C41" s="151">
        <v>40.2</v>
      </c>
    </row>
    <row r="42" spans="1:3" ht="13.5" thickBot="1">
      <c r="A42" s="149" t="str">
        <f>Translations!B246</f>
        <v>Anthracite</v>
      </c>
      <c r="B42" s="150">
        <v>98.2</v>
      </c>
      <c r="C42" s="151">
        <v>26.7</v>
      </c>
    </row>
    <row r="43" spans="1:3" ht="13.5" thickBot="1">
      <c r="A43" s="149" t="str">
        <f>Translations!B247</f>
        <v>Coking Coal</v>
      </c>
      <c r="B43" s="150">
        <v>94.5</v>
      </c>
      <c r="C43" s="151">
        <v>28.2</v>
      </c>
    </row>
    <row r="44" spans="1:3" ht="13.5" thickBot="1">
      <c r="A44" s="149" t="str">
        <f>Translations!B248</f>
        <v>Other Bituminous Coal</v>
      </c>
      <c r="B44" s="150">
        <v>94.5</v>
      </c>
      <c r="C44" s="151">
        <v>25.8</v>
      </c>
    </row>
    <row r="45" spans="1:3" ht="13.5" thickBot="1">
      <c r="A45" s="149" t="str">
        <f>Translations!B249</f>
        <v>Sub-Bituminous Coal</v>
      </c>
      <c r="B45" s="150">
        <v>96</v>
      </c>
      <c r="C45" s="151">
        <v>18.9</v>
      </c>
    </row>
    <row r="46" spans="1:3" ht="13.5" thickBot="1">
      <c r="A46" s="152" t="str">
        <f>Translations!B250</f>
        <v>Lignite</v>
      </c>
      <c r="B46" s="150">
        <v>101.1</v>
      </c>
      <c r="C46" s="151">
        <v>11.9</v>
      </c>
    </row>
    <row r="47" spans="1:3" ht="13.5" thickBot="1">
      <c r="A47" s="149" t="str">
        <f>Translations!B251</f>
        <v>Oil Shale and Tar Sands</v>
      </c>
      <c r="B47" s="150">
        <v>106.6</v>
      </c>
      <c r="C47" s="151">
        <v>8.9</v>
      </c>
    </row>
    <row r="48" spans="1:3" ht="13.5" thickBot="1">
      <c r="A48" s="149" t="str">
        <f>Translations!B252</f>
        <v>Patent Fuel</v>
      </c>
      <c r="B48" s="150">
        <v>97.5</v>
      </c>
      <c r="C48" s="151">
        <v>20.7</v>
      </c>
    </row>
    <row r="49" spans="1:3" ht="13.5" thickBot="1">
      <c r="A49" s="149" t="str">
        <f>Translations!B253</f>
        <v>Coke Oven Coke &amp; Lignite Coke</v>
      </c>
      <c r="B49" s="150">
        <v>107</v>
      </c>
      <c r="C49" s="151">
        <v>28.2</v>
      </c>
    </row>
    <row r="50" spans="1:3" ht="13.5" thickBot="1">
      <c r="A50" s="149" t="str">
        <f>Translations!B254</f>
        <v>Gas Coke</v>
      </c>
      <c r="B50" s="150">
        <v>107</v>
      </c>
      <c r="C50" s="151">
        <v>28.2</v>
      </c>
    </row>
    <row r="51" spans="1:3" ht="13.5" thickBot="1">
      <c r="A51" s="149" t="str">
        <f>Translations!B255</f>
        <v>Coal Tar</v>
      </c>
      <c r="B51" s="150">
        <v>80.6</v>
      </c>
      <c r="C51" s="151">
        <v>28</v>
      </c>
    </row>
    <row r="52" spans="1:3" ht="13.5" thickBot="1">
      <c r="A52" s="149" t="str">
        <f>Translations!B256</f>
        <v>Gas Works Gas</v>
      </c>
      <c r="B52" s="150">
        <v>44.7</v>
      </c>
      <c r="C52" s="151">
        <v>38.7</v>
      </c>
    </row>
    <row r="53" spans="1:3" ht="13.5" thickBot="1">
      <c r="A53" s="149" t="str">
        <f>Translations!B257</f>
        <v>Coke Oven Gas</v>
      </c>
      <c r="B53" s="150">
        <v>44.7</v>
      </c>
      <c r="C53" s="151">
        <v>38.7</v>
      </c>
    </row>
    <row r="54" spans="1:3" ht="13.5" thickBot="1">
      <c r="A54" s="149" t="str">
        <f>Translations!B258</f>
        <v>Blast Furnace Gas</v>
      </c>
      <c r="B54" s="150">
        <v>259.4</v>
      </c>
      <c r="C54" s="151">
        <v>2.5</v>
      </c>
    </row>
    <row r="55" spans="1:3" ht="13.5" thickBot="1">
      <c r="A55" s="149" t="str">
        <f>Translations!B259</f>
        <v>Oxygen Steel Furnace Gas</v>
      </c>
      <c r="B55" s="150">
        <v>171.8</v>
      </c>
      <c r="C55" s="151">
        <v>7.1</v>
      </c>
    </row>
    <row r="56" spans="1:3" ht="13.5" thickBot="1">
      <c r="A56" s="149" t="str">
        <f>Translations!B260</f>
        <v>Natural Gas</v>
      </c>
      <c r="B56" s="150">
        <v>56.1</v>
      </c>
      <c r="C56" s="151">
        <v>48</v>
      </c>
    </row>
    <row r="57" spans="1:3" ht="13.5" thickBot="1">
      <c r="A57" s="149" t="str">
        <f>Translations!B261</f>
        <v>Industrial Wastes</v>
      </c>
      <c r="B57" s="150">
        <v>142.9</v>
      </c>
      <c r="C57" s="151" t="s">
        <v>1882</v>
      </c>
    </row>
    <row r="58" spans="1:3" ht="13.5" thickBot="1">
      <c r="A58" s="149" t="str">
        <f>Translations!B262</f>
        <v>Waste Oils</v>
      </c>
      <c r="B58" s="150">
        <v>73.3</v>
      </c>
      <c r="C58" s="151">
        <v>40.2</v>
      </c>
    </row>
    <row r="59" spans="1:3" ht="13.5" thickBot="1">
      <c r="A59" s="152" t="str">
        <f>Translations!B263</f>
        <v>Peat</v>
      </c>
      <c r="B59" s="150">
        <v>105.9</v>
      </c>
      <c r="C59" s="151">
        <v>9.8</v>
      </c>
    </row>
    <row r="60" spans="1:3" ht="13.5" thickBot="1">
      <c r="A60" s="149" t="str">
        <f>Translations!B264</f>
        <v>Wood/Wood Waste</v>
      </c>
      <c r="B60" s="150">
        <v>0</v>
      </c>
      <c r="C60" s="151">
        <v>15.6</v>
      </c>
    </row>
    <row r="61" spans="1:3" ht="13.5" thickBot="1">
      <c r="A61" s="149" t="str">
        <f>Translations!B265</f>
        <v>Other Primary Solid Biomass</v>
      </c>
      <c r="B61" s="150">
        <v>0</v>
      </c>
      <c r="C61" s="151">
        <v>11.6</v>
      </c>
    </row>
    <row r="62" spans="1:3" ht="13.5" thickBot="1">
      <c r="A62" s="149" t="str">
        <f>Translations!B266</f>
        <v>Charcoal</v>
      </c>
      <c r="B62" s="150">
        <v>0</v>
      </c>
      <c r="C62" s="151">
        <v>29.5</v>
      </c>
    </row>
    <row r="63" spans="1:3" ht="13.5" thickBot="1">
      <c r="A63" s="149" t="str">
        <f>Translations!B267</f>
        <v>Biogasoline</v>
      </c>
      <c r="B63" s="150">
        <v>0</v>
      </c>
      <c r="C63" s="151">
        <v>27</v>
      </c>
    </row>
    <row r="64" spans="1:3" ht="13.5" thickBot="1">
      <c r="A64" s="149" t="str">
        <f>Translations!B268</f>
        <v>Biodiesels</v>
      </c>
      <c r="B64" s="150">
        <v>0</v>
      </c>
      <c r="C64" s="151">
        <v>27</v>
      </c>
    </row>
    <row r="65" spans="1:3" ht="13.5" thickBot="1">
      <c r="A65" s="149" t="str">
        <f>Translations!B269</f>
        <v>Other Liquid Biofuels</v>
      </c>
      <c r="B65" s="150">
        <v>0</v>
      </c>
      <c r="C65" s="151">
        <v>27.4</v>
      </c>
    </row>
    <row r="66" spans="1:3" ht="13.5" thickBot="1">
      <c r="A66" s="149" t="str">
        <f>Translations!B270</f>
        <v>Landfill Gas</v>
      </c>
      <c r="B66" s="150">
        <v>0</v>
      </c>
      <c r="C66" s="151">
        <v>50.4</v>
      </c>
    </row>
    <row r="67" spans="1:3" ht="13.5" thickBot="1">
      <c r="A67" s="149" t="str">
        <f>Translations!B271</f>
        <v>Sludge Gas</v>
      </c>
      <c r="B67" s="150">
        <v>0</v>
      </c>
      <c r="C67" s="151">
        <v>50.4</v>
      </c>
    </row>
    <row r="68" spans="1:3" ht="13.5" thickBot="1">
      <c r="A68" s="149" t="str">
        <f>Translations!B272</f>
        <v>Other Biogas</v>
      </c>
      <c r="B68" s="150">
        <v>0</v>
      </c>
      <c r="C68" s="151">
        <v>50.4</v>
      </c>
    </row>
    <row r="69" spans="1:3" ht="13.5" thickBot="1">
      <c r="A69" s="153" t="str">
        <f>Translations!B273</f>
        <v>Waste Tyres</v>
      </c>
      <c r="B69" s="150">
        <v>85</v>
      </c>
      <c r="C69" s="151" t="s">
        <v>1882</v>
      </c>
    </row>
    <row r="70" spans="1:3" ht="13.5" thickBot="1">
      <c r="A70" s="149" t="str">
        <f>Translations!B274</f>
        <v>Carbon Monoxide</v>
      </c>
      <c r="B70" s="150">
        <v>155.2</v>
      </c>
      <c r="C70" s="151">
        <v>10.1</v>
      </c>
    </row>
    <row r="71" spans="1:3" ht="13.5" thickBot="1">
      <c r="A71" s="154" t="str">
        <f>Translations!B275</f>
        <v>Methane</v>
      </c>
      <c r="B71" s="155">
        <v>54.9</v>
      </c>
      <c r="C71" s="156">
        <v>50</v>
      </c>
    </row>
    <row r="72" spans="1:3" ht="13.5" thickBot="1">
      <c r="A72" s="154"/>
      <c r="B72" s="155"/>
      <c r="C72" s="156"/>
    </row>
    <row r="73" spans="1:3" ht="12.75">
      <c r="A73" s="157" t="s">
        <v>1889</v>
      </c>
      <c r="B73" s="96"/>
      <c r="C73" s="96"/>
    </row>
  </sheetData>
  <sheetProtection sheet="1" objects="1" scenarios="1" formatCells="0" formatColumns="0" formatRows="0"/>
  <mergeCells count="1">
    <mergeCell ref="C18:C19"/>
  </mergeCells>
  <dataValidations count="1">
    <dataValidation type="list" allowBlank="1" showInputMessage="1" showErrorMessage="1" sqref="E2:E5 B2:B5">
      <formula1>Euconst_TrueFalse</formula1>
    </dataValidation>
  </dataValidations>
  <printOptions/>
  <pageMargins left="0.787401575" right="0.787401575" top="0.984251969" bottom="0.984251969" header="0.4921259845" footer="0.4921259845"/>
  <pageSetup fitToHeight="4" fitToWidth="1" horizontalDpi="600" verticalDpi="600" orientation="portrait" paperSize="9" scale="73" r:id="rId1"/>
  <headerFooter alignWithMargins="0">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codeName="Tabelle16">
    <tabColor indexed="17"/>
    <pageSetUpPr fitToPage="1"/>
  </sheetPr>
  <dimension ref="A1:F1607"/>
  <sheetViews>
    <sheetView zoomScalePageLayoutView="0" workbookViewId="0" topLeftCell="A1549">
      <selection activeCell="C1575" sqref="C1575"/>
    </sheetView>
  </sheetViews>
  <sheetFormatPr defaultColWidth="9.140625" defaultRowHeight="12.75"/>
  <cols>
    <col min="1" max="1" width="9.421875" style="159" customWidth="1"/>
    <col min="2" max="3" width="70.7109375" style="159" customWidth="1"/>
    <col min="4" max="16384" width="9.140625" style="159" customWidth="1"/>
  </cols>
  <sheetData>
    <row r="1" spans="1:3" s="158" customFormat="1" ht="15">
      <c r="A1" s="158" t="s">
        <v>1533</v>
      </c>
      <c r="B1" s="158" t="s">
        <v>196</v>
      </c>
      <c r="C1" s="158" t="s">
        <v>197</v>
      </c>
    </row>
    <row r="2" spans="1:2" ht="15">
      <c r="A2" s="270">
        <v>1</v>
      </c>
      <c r="B2" s="119" t="s">
        <v>78</v>
      </c>
    </row>
    <row r="3" spans="1:2" ht="15">
      <c r="A3" s="270">
        <v>2</v>
      </c>
      <c r="B3" s="119" t="s">
        <v>699</v>
      </c>
    </row>
    <row r="4" spans="1:2" ht="15">
      <c r="A4" s="270">
        <v>3</v>
      </c>
      <c r="B4" s="119" t="s">
        <v>700</v>
      </c>
    </row>
    <row r="5" spans="1:2" ht="15">
      <c r="A5" s="270">
        <v>4</v>
      </c>
      <c r="B5" s="119" t="s">
        <v>415</v>
      </c>
    </row>
    <row r="6" spans="1:2" ht="15">
      <c r="A6" s="270">
        <v>5</v>
      </c>
      <c r="B6" s="119" t="s">
        <v>1219</v>
      </c>
    </row>
    <row r="7" spans="1:2" ht="15">
      <c r="A7" s="270">
        <v>6</v>
      </c>
      <c r="B7" s="119" t="s">
        <v>1487</v>
      </c>
    </row>
    <row r="8" spans="1:2" ht="15">
      <c r="A8" s="270">
        <v>7</v>
      </c>
      <c r="B8" s="119" t="s">
        <v>820</v>
      </c>
    </row>
    <row r="9" spans="1:2" ht="15">
      <c r="A9" s="270">
        <v>8</v>
      </c>
      <c r="B9" s="119" t="s">
        <v>1488</v>
      </c>
    </row>
    <row r="10" spans="1:2" ht="15">
      <c r="A10" s="270">
        <v>9</v>
      </c>
      <c r="B10" s="119" t="s">
        <v>1491</v>
      </c>
    </row>
    <row r="11" spans="1:2" ht="15">
      <c r="A11" s="270">
        <v>10</v>
      </c>
      <c r="B11" s="119" t="s">
        <v>1492</v>
      </c>
    </row>
    <row r="12" spans="1:2" ht="15">
      <c r="A12" s="270">
        <v>11</v>
      </c>
      <c r="B12" s="119" t="s">
        <v>1493</v>
      </c>
    </row>
    <row r="13" spans="1:2" ht="15">
      <c r="A13" s="270">
        <v>12</v>
      </c>
      <c r="B13" s="119" t="s">
        <v>1494</v>
      </c>
    </row>
    <row r="14" spans="1:2" ht="15">
      <c r="A14" s="270">
        <v>13</v>
      </c>
      <c r="B14" s="119" t="s">
        <v>1848</v>
      </c>
    </row>
    <row r="15" spans="1:2" ht="15">
      <c r="A15" s="270">
        <v>14</v>
      </c>
      <c r="B15" s="119" t="s">
        <v>1220</v>
      </c>
    </row>
    <row r="16" spans="1:2" ht="15">
      <c r="A16" s="270">
        <v>15</v>
      </c>
      <c r="B16" s="119" t="s">
        <v>1579</v>
      </c>
    </row>
    <row r="17" spans="1:2" ht="15">
      <c r="A17" s="270">
        <v>16</v>
      </c>
      <c r="B17" s="119" t="s">
        <v>166</v>
      </c>
    </row>
    <row r="18" spans="1:2" ht="15">
      <c r="A18" s="270">
        <v>17</v>
      </c>
      <c r="B18" s="119" t="s">
        <v>989</v>
      </c>
    </row>
    <row r="19" spans="1:2" ht="15">
      <c r="A19" s="270">
        <v>18</v>
      </c>
      <c r="B19" s="119" t="s">
        <v>405</v>
      </c>
    </row>
    <row r="20" spans="1:2" ht="15">
      <c r="A20" s="270">
        <v>19</v>
      </c>
      <c r="B20" s="119" t="s">
        <v>741</v>
      </c>
    </row>
    <row r="21" spans="1:2" ht="15">
      <c r="A21" s="270">
        <v>20</v>
      </c>
      <c r="B21" s="119" t="s">
        <v>742</v>
      </c>
    </row>
    <row r="22" spans="1:2" ht="15">
      <c r="A22" s="270">
        <v>21</v>
      </c>
      <c r="B22" s="119" t="s">
        <v>464</v>
      </c>
    </row>
    <row r="23" spans="1:2" ht="15">
      <c r="A23" s="270">
        <v>22</v>
      </c>
      <c r="B23" s="119" t="s">
        <v>743</v>
      </c>
    </row>
    <row r="24" spans="1:2" ht="15">
      <c r="A24" s="270">
        <v>23</v>
      </c>
      <c r="B24" s="119" t="s">
        <v>1651</v>
      </c>
    </row>
    <row r="25" spans="1:2" ht="15">
      <c r="A25" s="270">
        <v>24</v>
      </c>
      <c r="B25" s="119" t="s">
        <v>744</v>
      </c>
    </row>
    <row r="26" spans="1:2" ht="15">
      <c r="A26" s="270">
        <v>25</v>
      </c>
      <c r="B26" s="119" t="s">
        <v>745</v>
      </c>
    </row>
    <row r="27" spans="1:2" ht="15">
      <c r="A27" s="270">
        <v>26</v>
      </c>
      <c r="B27" s="119" t="s">
        <v>600</v>
      </c>
    </row>
    <row r="28" spans="1:2" ht="15">
      <c r="A28" s="270">
        <v>27</v>
      </c>
      <c r="B28" s="119" t="s">
        <v>744</v>
      </c>
    </row>
    <row r="29" spans="1:2" ht="15">
      <c r="A29" s="270">
        <v>28</v>
      </c>
      <c r="B29" s="4" t="s">
        <v>748</v>
      </c>
    </row>
    <row r="30" spans="1:2" ht="15">
      <c r="A30" s="270">
        <v>29</v>
      </c>
      <c r="B30" s="4" t="s">
        <v>749</v>
      </c>
    </row>
    <row r="31" spans="1:2" ht="15">
      <c r="A31" s="270">
        <v>30</v>
      </c>
      <c r="B31" s="119" t="s">
        <v>1107</v>
      </c>
    </row>
    <row r="32" spans="1:2" ht="15">
      <c r="A32" s="270">
        <v>31</v>
      </c>
      <c r="B32" s="119" t="s">
        <v>1110</v>
      </c>
    </row>
    <row r="33" spans="1:2" ht="15">
      <c r="A33" s="270">
        <v>32</v>
      </c>
      <c r="B33" s="119" t="s">
        <v>788</v>
      </c>
    </row>
    <row r="34" spans="1:2" ht="15">
      <c r="A34" s="270">
        <v>33</v>
      </c>
      <c r="B34" s="119" t="s">
        <v>1111</v>
      </c>
    </row>
    <row r="35" spans="1:2" ht="15">
      <c r="A35" s="270">
        <v>34</v>
      </c>
      <c r="B35" s="119" t="s">
        <v>1112</v>
      </c>
    </row>
    <row r="36" spans="1:2" ht="15">
      <c r="A36" s="270">
        <v>35</v>
      </c>
      <c r="B36" s="119" t="s">
        <v>1113</v>
      </c>
    </row>
    <row r="37" spans="1:2" ht="15">
      <c r="A37" s="270">
        <v>36</v>
      </c>
      <c r="B37" s="119" t="s">
        <v>1110</v>
      </c>
    </row>
    <row r="38" spans="1:2" ht="15">
      <c r="A38" s="270">
        <v>37</v>
      </c>
      <c r="B38" s="119" t="s">
        <v>788</v>
      </c>
    </row>
    <row r="39" spans="1:2" ht="15">
      <c r="A39" s="270">
        <v>38</v>
      </c>
      <c r="B39" s="119" t="s">
        <v>1111</v>
      </c>
    </row>
    <row r="40" spans="1:2" ht="15">
      <c r="A40" s="270">
        <v>39</v>
      </c>
      <c r="B40" s="119" t="s">
        <v>1112</v>
      </c>
    </row>
    <row r="41" spans="1:2" ht="15">
      <c r="A41" s="270">
        <v>40</v>
      </c>
      <c r="B41" s="119" t="s">
        <v>265</v>
      </c>
    </row>
    <row r="42" spans="1:2" ht="15">
      <c r="A42" s="270">
        <v>41</v>
      </c>
      <c r="B42" s="119" t="s">
        <v>266</v>
      </c>
    </row>
    <row r="43" spans="1:2" ht="15">
      <c r="A43" s="270">
        <v>42</v>
      </c>
      <c r="B43" s="119" t="s">
        <v>267</v>
      </c>
    </row>
    <row r="44" spans="1:2" ht="15">
      <c r="A44" s="270">
        <v>43</v>
      </c>
      <c r="B44" s="119" t="s">
        <v>268</v>
      </c>
    </row>
    <row r="45" spans="1:2" ht="15">
      <c r="A45" s="270">
        <v>44</v>
      </c>
      <c r="B45" s="119" t="s">
        <v>1092</v>
      </c>
    </row>
    <row r="46" spans="1:2" ht="15">
      <c r="A46" s="270">
        <v>45</v>
      </c>
      <c r="B46" s="119" t="s">
        <v>1093</v>
      </c>
    </row>
    <row r="47" spans="1:2" ht="15">
      <c r="A47" s="270">
        <v>46</v>
      </c>
      <c r="B47" s="119" t="s">
        <v>542</v>
      </c>
    </row>
    <row r="48" spans="1:2" ht="15">
      <c r="A48" s="270">
        <v>47</v>
      </c>
      <c r="B48" s="4" t="s">
        <v>1287</v>
      </c>
    </row>
    <row r="49" spans="1:2" ht="15">
      <c r="A49" s="270">
        <v>48</v>
      </c>
      <c r="B49" s="4" t="s">
        <v>1288</v>
      </c>
    </row>
    <row r="50" spans="1:2" ht="15">
      <c r="A50" s="270">
        <v>49</v>
      </c>
      <c r="B50" s="4" t="s">
        <v>1707</v>
      </c>
    </row>
    <row r="51" spans="1:2" ht="15">
      <c r="A51" s="270">
        <v>50</v>
      </c>
      <c r="B51" s="4" t="s">
        <v>1708</v>
      </c>
    </row>
    <row r="52" spans="1:2" ht="15">
      <c r="A52" s="270">
        <v>51</v>
      </c>
      <c r="B52" s="4" t="s">
        <v>1211</v>
      </c>
    </row>
    <row r="53" spans="1:2" ht="15">
      <c r="A53" s="270">
        <v>54</v>
      </c>
      <c r="B53" s="4" t="s">
        <v>530</v>
      </c>
    </row>
    <row r="54" spans="1:2" ht="15">
      <c r="A54" s="270">
        <v>55</v>
      </c>
      <c r="B54" s="4" t="s">
        <v>702</v>
      </c>
    </row>
    <row r="55" spans="1:2" ht="15">
      <c r="A55" s="270">
        <v>56</v>
      </c>
      <c r="B55" s="4" t="s">
        <v>703</v>
      </c>
    </row>
    <row r="56" spans="1:2" ht="15">
      <c r="A56" s="270">
        <v>57</v>
      </c>
      <c r="B56" s="4" t="s">
        <v>1770</v>
      </c>
    </row>
    <row r="57" spans="1:2" ht="15">
      <c r="A57" s="270">
        <v>58</v>
      </c>
      <c r="B57" s="4" t="s">
        <v>566</v>
      </c>
    </row>
    <row r="58" spans="1:2" ht="15">
      <c r="A58" s="270">
        <v>59</v>
      </c>
      <c r="B58" s="4" t="s">
        <v>1267</v>
      </c>
    </row>
    <row r="59" spans="1:2" ht="15">
      <c r="A59" s="270">
        <v>60</v>
      </c>
      <c r="B59" s="4" t="s">
        <v>93</v>
      </c>
    </row>
    <row r="60" spans="1:2" ht="15">
      <c r="A60" s="270">
        <v>61</v>
      </c>
      <c r="B60" s="4" t="s">
        <v>1072</v>
      </c>
    </row>
    <row r="61" spans="1:2" ht="15">
      <c r="A61" s="270">
        <v>62</v>
      </c>
      <c r="B61" s="119" t="s">
        <v>1036</v>
      </c>
    </row>
    <row r="62" spans="1:2" ht="15">
      <c r="A62" s="270">
        <v>63</v>
      </c>
      <c r="B62" s="119" t="s">
        <v>372</v>
      </c>
    </row>
    <row r="63" spans="1:2" ht="15">
      <c r="A63" s="270">
        <v>64</v>
      </c>
      <c r="B63" s="119" t="s">
        <v>640</v>
      </c>
    </row>
    <row r="64" spans="1:2" ht="15">
      <c r="A64" s="270">
        <v>65</v>
      </c>
      <c r="B64" s="119" t="s">
        <v>848</v>
      </c>
    </row>
    <row r="65" spans="1:2" ht="15">
      <c r="A65" s="270">
        <v>66</v>
      </c>
      <c r="B65" s="4" t="s">
        <v>1948</v>
      </c>
    </row>
    <row r="66" spans="1:2" ht="15">
      <c r="A66" s="270">
        <v>67</v>
      </c>
      <c r="B66" s="4" t="s">
        <v>526</v>
      </c>
    </row>
    <row r="67" spans="1:2" ht="15">
      <c r="A67" s="270">
        <v>68</v>
      </c>
      <c r="B67" s="4" t="s">
        <v>1575</v>
      </c>
    </row>
    <row r="68" spans="1:2" ht="15">
      <c r="A68" s="270">
        <v>69</v>
      </c>
      <c r="B68" s="4" t="s">
        <v>1576</v>
      </c>
    </row>
    <row r="69" spans="1:2" ht="15">
      <c r="A69" s="270">
        <v>70</v>
      </c>
      <c r="B69" s="4" t="str">
        <f>EUconst_HeatToolSimple</f>
        <v>Simple heat tool (E.II.1)</v>
      </c>
    </row>
    <row r="70" spans="1:2" ht="15">
      <c r="A70" s="270">
        <v>71</v>
      </c>
      <c r="B70" s="4" t="s">
        <v>418</v>
      </c>
    </row>
    <row r="71" spans="1:2" ht="15">
      <c r="A71" s="270">
        <v>72</v>
      </c>
      <c r="B71" s="4" t="s">
        <v>419</v>
      </c>
    </row>
    <row r="72" spans="1:2" ht="15">
      <c r="A72" s="270">
        <v>76</v>
      </c>
      <c r="B72" s="4" t="s">
        <v>422</v>
      </c>
    </row>
    <row r="73" spans="1:2" ht="15">
      <c r="A73" s="270">
        <v>77</v>
      </c>
      <c r="B73" s="4" t="s">
        <v>424</v>
      </c>
    </row>
    <row r="74" spans="1:2" ht="15">
      <c r="A74" s="270">
        <v>78</v>
      </c>
      <c r="B74" s="4" t="s">
        <v>426</v>
      </c>
    </row>
    <row r="75" spans="1:2" ht="15">
      <c r="A75" s="270">
        <v>79</v>
      </c>
      <c r="B75" s="4" t="s">
        <v>1480</v>
      </c>
    </row>
    <row r="76" spans="1:2" ht="15">
      <c r="A76" s="270">
        <v>80</v>
      </c>
      <c r="B76" s="4" t="s">
        <v>1482</v>
      </c>
    </row>
    <row r="77" spans="1:2" ht="15">
      <c r="A77" s="270">
        <v>81</v>
      </c>
      <c r="B77" s="4" t="s">
        <v>1484</v>
      </c>
    </row>
    <row r="78" spans="1:2" ht="15">
      <c r="A78" s="270">
        <v>82</v>
      </c>
      <c r="B78" s="4" t="s">
        <v>680</v>
      </c>
    </row>
    <row r="79" spans="1:2" ht="15">
      <c r="A79" s="270">
        <v>83</v>
      </c>
      <c r="B79" s="4" t="s">
        <v>677</v>
      </c>
    </row>
    <row r="80" spans="1:2" ht="15">
      <c r="A80" s="270">
        <v>84</v>
      </c>
      <c r="B80" s="4" t="s">
        <v>247</v>
      </c>
    </row>
    <row r="81" spans="1:2" ht="15">
      <c r="A81" s="270">
        <v>85</v>
      </c>
      <c r="B81" s="4" t="s">
        <v>1057</v>
      </c>
    </row>
    <row r="82" spans="1:2" ht="15">
      <c r="A82" s="270">
        <v>86</v>
      </c>
      <c r="B82" s="4" t="s">
        <v>1059</v>
      </c>
    </row>
    <row r="83" spans="1:2" ht="15">
      <c r="A83" s="270">
        <v>87</v>
      </c>
      <c r="B83" s="4" t="s">
        <v>1062</v>
      </c>
    </row>
    <row r="84" spans="1:2" ht="15">
      <c r="A84" s="270">
        <v>88</v>
      </c>
      <c r="B84" s="4" t="s">
        <v>687</v>
      </c>
    </row>
    <row r="85" spans="1:2" ht="15">
      <c r="A85" s="270">
        <v>89</v>
      </c>
      <c r="B85" s="4" t="s">
        <v>1214</v>
      </c>
    </row>
    <row r="86" spans="1:2" ht="15">
      <c r="A86" s="270">
        <v>90</v>
      </c>
      <c r="B86" s="4" t="s">
        <v>1217</v>
      </c>
    </row>
    <row r="87" spans="1:2" ht="15">
      <c r="A87" s="270">
        <v>91</v>
      </c>
      <c r="B87" s="4" t="s">
        <v>1222</v>
      </c>
    </row>
    <row r="88" spans="1:3" ht="15">
      <c r="A88" s="471">
        <v>92</v>
      </c>
      <c r="B88" s="370" t="str">
        <f>B1481</f>
        <v>Initial date must be after 30 June 2011!</v>
      </c>
      <c r="C88" s="374"/>
    </row>
    <row r="89" spans="1:3" ht="15">
      <c r="A89" s="471">
        <v>93</v>
      </c>
      <c r="B89" s="370" t="str">
        <f>B1482</f>
        <v>All dates must be after 30 June 2011!</v>
      </c>
      <c r="C89" s="374"/>
    </row>
    <row r="90" spans="1:2" ht="15">
      <c r="A90" s="270">
        <v>94</v>
      </c>
      <c r="B90" s="4" t="s">
        <v>1225</v>
      </c>
    </row>
    <row r="91" spans="1:2" ht="15">
      <c r="A91" s="270">
        <v>96</v>
      </c>
      <c r="B91" s="4" t="s">
        <v>1582</v>
      </c>
    </row>
    <row r="92" spans="1:2" ht="15">
      <c r="A92" s="270">
        <v>97</v>
      </c>
      <c r="B92" s="4" t="s">
        <v>1583</v>
      </c>
    </row>
    <row r="93" spans="1:2" ht="15">
      <c r="A93" s="270">
        <v>98</v>
      </c>
      <c r="B93" s="4" t="s">
        <v>1572</v>
      </c>
    </row>
    <row r="94" spans="1:2" ht="15">
      <c r="A94" s="270">
        <v>99</v>
      </c>
      <c r="B94" s="4" t="s">
        <v>1772</v>
      </c>
    </row>
    <row r="95" spans="1:2" ht="15">
      <c r="A95" s="270">
        <v>100</v>
      </c>
      <c r="B95" s="4" t="s">
        <v>1771</v>
      </c>
    </row>
    <row r="96" spans="1:2" ht="15">
      <c r="A96" s="270">
        <v>101</v>
      </c>
      <c r="B96" s="4" t="s">
        <v>278</v>
      </c>
    </row>
    <row r="97" spans="1:2" ht="15">
      <c r="A97" s="270">
        <v>102</v>
      </c>
      <c r="B97" s="273" t="s">
        <v>852</v>
      </c>
    </row>
    <row r="98" spans="1:2" ht="15">
      <c r="A98" s="270">
        <v>103</v>
      </c>
      <c r="B98" s="273" t="s">
        <v>853</v>
      </c>
    </row>
    <row r="99" spans="1:2" ht="15">
      <c r="A99" s="270">
        <v>104</v>
      </c>
      <c r="B99" s="273" t="s">
        <v>854</v>
      </c>
    </row>
    <row r="100" spans="1:2" ht="15">
      <c r="A100" s="270">
        <v>105</v>
      </c>
      <c r="B100" s="273" t="s">
        <v>855</v>
      </c>
    </row>
    <row r="101" spans="1:2" ht="15">
      <c r="A101" s="270">
        <v>106</v>
      </c>
      <c r="B101" s="273" t="s">
        <v>1838</v>
      </c>
    </row>
    <row r="102" spans="1:2" ht="15">
      <c r="A102" s="270">
        <v>107</v>
      </c>
      <c r="B102" s="273" t="s">
        <v>1210</v>
      </c>
    </row>
    <row r="103" spans="1:2" ht="15">
      <c r="A103" s="270">
        <v>108</v>
      </c>
      <c r="B103" s="273" t="s">
        <v>852</v>
      </c>
    </row>
    <row r="104" spans="1:2" ht="15">
      <c r="A104" s="270">
        <v>109</v>
      </c>
      <c r="B104" s="273" t="s">
        <v>856</v>
      </c>
    </row>
    <row r="105" spans="1:2" ht="15">
      <c r="A105" s="270">
        <v>110</v>
      </c>
      <c r="B105" s="273" t="s">
        <v>1209</v>
      </c>
    </row>
    <row r="106" spans="1:2" ht="15">
      <c r="A106" s="270">
        <v>111</v>
      </c>
      <c r="B106" s="273" t="s">
        <v>857</v>
      </c>
    </row>
    <row r="107" spans="1:2" ht="15">
      <c r="A107" s="270">
        <v>112</v>
      </c>
      <c r="B107" s="273" t="s">
        <v>858</v>
      </c>
    </row>
    <row r="108" spans="1:2" ht="15">
      <c r="A108" s="270">
        <v>113</v>
      </c>
      <c r="B108" s="4" t="s">
        <v>1683</v>
      </c>
    </row>
    <row r="109" spans="1:2" ht="15">
      <c r="A109" s="270">
        <v>114</v>
      </c>
      <c r="B109" s="4" t="s">
        <v>1684</v>
      </c>
    </row>
    <row r="110" spans="1:2" ht="15">
      <c r="A110" s="270">
        <v>115</v>
      </c>
      <c r="B110" s="119" t="s">
        <v>1685</v>
      </c>
    </row>
    <row r="111" spans="1:2" ht="15">
      <c r="A111" s="270">
        <v>116</v>
      </c>
      <c r="B111" s="119" t="s">
        <v>1686</v>
      </c>
    </row>
    <row r="112" spans="1:2" ht="15">
      <c r="A112" s="270">
        <v>117</v>
      </c>
      <c r="B112" s="119" t="s">
        <v>1687</v>
      </c>
    </row>
    <row r="113" spans="1:2" ht="15">
      <c r="A113" s="270">
        <v>118</v>
      </c>
      <c r="B113" s="119" t="s">
        <v>1688</v>
      </c>
    </row>
    <row r="114" spans="1:2" ht="15">
      <c r="A114" s="270">
        <v>119</v>
      </c>
      <c r="B114" s="119" t="s">
        <v>1689</v>
      </c>
    </row>
    <row r="115" spans="1:2" ht="15">
      <c r="A115" s="270">
        <v>120</v>
      </c>
      <c r="B115" s="119" t="s">
        <v>1690</v>
      </c>
    </row>
    <row r="116" spans="1:2" ht="15">
      <c r="A116" s="270">
        <v>121</v>
      </c>
      <c r="B116" s="119" t="s">
        <v>1691</v>
      </c>
    </row>
    <row r="117" spans="1:2" ht="15">
      <c r="A117" s="270">
        <v>122</v>
      </c>
      <c r="B117" s="119" t="s">
        <v>1811</v>
      </c>
    </row>
    <row r="118" spans="1:2" ht="15">
      <c r="A118" s="270">
        <v>123</v>
      </c>
      <c r="B118" s="119" t="s">
        <v>1812</v>
      </c>
    </row>
    <row r="119" spans="1:2" ht="15">
      <c r="A119" s="270">
        <v>124</v>
      </c>
      <c r="B119" s="119" t="s">
        <v>1813</v>
      </c>
    </row>
    <row r="120" spans="1:2" ht="15">
      <c r="A120" s="270">
        <v>125</v>
      </c>
      <c r="B120" s="119" t="s">
        <v>1822</v>
      </c>
    </row>
    <row r="121" spans="1:2" ht="15">
      <c r="A121" s="270">
        <v>126</v>
      </c>
      <c r="B121" s="119" t="s">
        <v>1814</v>
      </c>
    </row>
    <row r="122" spans="1:2" ht="15">
      <c r="A122" s="270">
        <v>127</v>
      </c>
      <c r="B122" s="119" t="s">
        <v>1815</v>
      </c>
    </row>
    <row r="123" spans="1:2" ht="15">
      <c r="A123" s="270">
        <v>128</v>
      </c>
      <c r="B123" s="119" t="s">
        <v>1816</v>
      </c>
    </row>
    <row r="124" spans="1:2" ht="15">
      <c r="A124" s="270">
        <v>129</v>
      </c>
      <c r="B124" s="119" t="s">
        <v>190</v>
      </c>
    </row>
    <row r="125" spans="1:2" ht="15">
      <c r="A125" s="270">
        <v>130</v>
      </c>
      <c r="B125" s="119" t="s">
        <v>1817</v>
      </c>
    </row>
    <row r="126" spans="1:2" ht="15">
      <c r="A126" s="270">
        <v>131</v>
      </c>
      <c r="B126" s="119" t="s">
        <v>1818</v>
      </c>
    </row>
    <row r="127" spans="1:2" ht="15">
      <c r="A127" s="270">
        <v>132</v>
      </c>
      <c r="B127" s="119" t="s">
        <v>1819</v>
      </c>
    </row>
    <row r="128" spans="1:2" ht="15">
      <c r="A128" s="270">
        <v>133</v>
      </c>
      <c r="B128" s="119" t="s">
        <v>1820</v>
      </c>
    </row>
    <row r="129" spans="1:2" ht="15">
      <c r="A129" s="270">
        <v>134</v>
      </c>
      <c r="B129" s="119" t="s">
        <v>189</v>
      </c>
    </row>
    <row r="130" spans="1:2" ht="15">
      <c r="A130" s="270">
        <v>135</v>
      </c>
      <c r="B130" s="119" t="s">
        <v>1821</v>
      </c>
    </row>
    <row r="131" spans="1:2" ht="15">
      <c r="A131" s="270">
        <v>136</v>
      </c>
      <c r="B131" s="119" t="s">
        <v>1095</v>
      </c>
    </row>
    <row r="132" spans="1:2" ht="15">
      <c r="A132" s="270">
        <v>137</v>
      </c>
      <c r="B132" s="119" t="s">
        <v>1096</v>
      </c>
    </row>
    <row r="133" spans="1:2" ht="15">
      <c r="A133" s="270">
        <v>138</v>
      </c>
      <c r="B133" s="119" t="s">
        <v>1097</v>
      </c>
    </row>
    <row r="134" spans="1:2" ht="15">
      <c r="A134" s="270">
        <v>139</v>
      </c>
      <c r="B134" s="119" t="s">
        <v>1098</v>
      </c>
    </row>
    <row r="135" spans="1:2" ht="15">
      <c r="A135" s="270">
        <v>140</v>
      </c>
      <c r="B135" s="119" t="s">
        <v>1052</v>
      </c>
    </row>
    <row r="136" spans="1:2" ht="15">
      <c r="A136" s="270">
        <v>141</v>
      </c>
      <c r="B136" s="119" t="s">
        <v>1053</v>
      </c>
    </row>
    <row r="137" spans="1:2" ht="15">
      <c r="A137" s="270">
        <v>142</v>
      </c>
      <c r="B137" s="119" t="s">
        <v>1054</v>
      </c>
    </row>
    <row r="138" spans="1:2" ht="15">
      <c r="A138" s="270">
        <v>143</v>
      </c>
      <c r="B138" s="122" t="s">
        <v>1031</v>
      </c>
    </row>
    <row r="139" spans="1:2" ht="15">
      <c r="A139" s="270">
        <v>144</v>
      </c>
      <c r="B139" s="123" t="s">
        <v>1905</v>
      </c>
    </row>
    <row r="140" spans="1:2" ht="15">
      <c r="A140" s="270">
        <v>145</v>
      </c>
      <c r="B140" s="123" t="s">
        <v>1908</v>
      </c>
    </row>
    <row r="141" spans="1:2" ht="15">
      <c r="A141" s="270">
        <v>146</v>
      </c>
      <c r="B141" s="123" t="s">
        <v>1910</v>
      </c>
    </row>
    <row r="142" spans="1:2" ht="15">
      <c r="A142" s="270">
        <v>147</v>
      </c>
      <c r="B142" s="123" t="s">
        <v>1912</v>
      </c>
    </row>
    <row r="143" spans="1:2" ht="15">
      <c r="A143" s="270">
        <v>148</v>
      </c>
      <c r="B143" s="123" t="s">
        <v>1136</v>
      </c>
    </row>
    <row r="144" spans="1:2" ht="15">
      <c r="A144" s="270">
        <v>149</v>
      </c>
      <c r="B144" s="123" t="s">
        <v>1916</v>
      </c>
    </row>
    <row r="145" spans="1:2" ht="15">
      <c r="A145" s="270">
        <v>150</v>
      </c>
      <c r="B145" s="123" t="s">
        <v>1033</v>
      </c>
    </row>
    <row r="146" spans="1:2" ht="15">
      <c r="A146" s="270">
        <v>151</v>
      </c>
      <c r="B146" s="123" t="s">
        <v>608</v>
      </c>
    </row>
    <row r="147" spans="1:2" ht="15">
      <c r="A147" s="270">
        <v>152</v>
      </c>
      <c r="B147" s="123" t="s">
        <v>1919</v>
      </c>
    </row>
    <row r="148" spans="1:2" ht="15">
      <c r="A148" s="270">
        <v>153</v>
      </c>
      <c r="B148" s="123" t="s">
        <v>1515</v>
      </c>
    </row>
    <row r="149" spans="1:2" ht="15">
      <c r="A149" s="270">
        <v>154</v>
      </c>
      <c r="B149" s="123" t="s">
        <v>364</v>
      </c>
    </row>
    <row r="150" spans="1:2" ht="15">
      <c r="A150" s="270">
        <v>155</v>
      </c>
      <c r="B150" s="123" t="s">
        <v>1021</v>
      </c>
    </row>
    <row r="151" spans="1:2" ht="15">
      <c r="A151" s="270">
        <v>156</v>
      </c>
      <c r="B151" s="123" t="s">
        <v>1026</v>
      </c>
    </row>
    <row r="152" spans="1:2" ht="15">
      <c r="A152" s="270">
        <v>157</v>
      </c>
      <c r="B152" s="123" t="s">
        <v>538</v>
      </c>
    </row>
    <row r="153" spans="1:2" ht="15">
      <c r="A153" s="270">
        <v>158</v>
      </c>
      <c r="B153" s="123" t="s">
        <v>1063</v>
      </c>
    </row>
    <row r="154" spans="1:2" ht="15">
      <c r="A154" s="270">
        <v>159</v>
      </c>
      <c r="B154" s="123" t="s">
        <v>1068</v>
      </c>
    </row>
    <row r="155" spans="1:2" ht="15">
      <c r="A155" s="270">
        <v>160</v>
      </c>
      <c r="B155" s="123" t="s">
        <v>1309</v>
      </c>
    </row>
    <row r="156" spans="1:2" ht="15">
      <c r="A156" s="270">
        <v>161</v>
      </c>
      <c r="B156" s="123" t="s">
        <v>1311</v>
      </c>
    </row>
    <row r="157" spans="1:2" ht="15">
      <c r="A157" s="270">
        <v>162</v>
      </c>
      <c r="B157" s="123" t="s">
        <v>1313</v>
      </c>
    </row>
    <row r="158" spans="1:2" ht="15">
      <c r="A158" s="270">
        <v>163</v>
      </c>
      <c r="B158" s="123" t="s">
        <v>1032</v>
      </c>
    </row>
    <row r="159" spans="1:2" ht="15">
      <c r="A159" s="270">
        <v>164</v>
      </c>
      <c r="B159" s="123" t="s">
        <v>1315</v>
      </c>
    </row>
    <row r="160" spans="1:2" ht="15">
      <c r="A160" s="270">
        <v>165</v>
      </c>
      <c r="B160" s="123" t="s">
        <v>1317</v>
      </c>
    </row>
    <row r="161" spans="1:2" ht="15">
      <c r="A161" s="270">
        <v>166</v>
      </c>
      <c r="B161" s="123" t="s">
        <v>159</v>
      </c>
    </row>
    <row r="162" spans="1:2" ht="15">
      <c r="A162" s="270">
        <v>167</v>
      </c>
      <c r="B162" s="123" t="s">
        <v>162</v>
      </c>
    </row>
    <row r="163" spans="1:2" ht="15">
      <c r="A163" s="270">
        <v>168</v>
      </c>
      <c r="B163" s="123" t="s">
        <v>609</v>
      </c>
    </row>
    <row r="164" spans="1:2" ht="15">
      <c r="A164" s="270">
        <v>169</v>
      </c>
      <c r="B164" s="123" t="s">
        <v>275</v>
      </c>
    </row>
    <row r="165" spans="1:2" ht="15">
      <c r="A165" s="270">
        <v>170</v>
      </c>
      <c r="B165" s="123" t="s">
        <v>276</v>
      </c>
    </row>
    <row r="166" spans="1:2" ht="15">
      <c r="A166" s="270">
        <v>171</v>
      </c>
      <c r="B166" s="119" t="s">
        <v>1906</v>
      </c>
    </row>
    <row r="167" spans="1:2" ht="15">
      <c r="A167" s="270">
        <v>172</v>
      </c>
      <c r="B167" s="119" t="s">
        <v>1909</v>
      </c>
    </row>
    <row r="168" spans="1:2" ht="15">
      <c r="A168" s="270">
        <v>173</v>
      </c>
      <c r="B168" s="119" t="s">
        <v>1911</v>
      </c>
    </row>
    <row r="169" spans="1:2" ht="15">
      <c r="A169" s="270">
        <v>174</v>
      </c>
      <c r="B169" s="119" t="s">
        <v>1427</v>
      </c>
    </row>
    <row r="170" spans="1:2" ht="15">
      <c r="A170" s="270">
        <v>175</v>
      </c>
      <c r="B170" s="119" t="s">
        <v>1913</v>
      </c>
    </row>
    <row r="171" spans="1:2" ht="15">
      <c r="A171" s="270">
        <v>176</v>
      </c>
      <c r="B171" s="119" t="s">
        <v>1914</v>
      </c>
    </row>
    <row r="172" spans="1:2" ht="15">
      <c r="A172" s="270">
        <v>177</v>
      </c>
      <c r="B172" s="119" t="s">
        <v>1915</v>
      </c>
    </row>
    <row r="173" spans="1:2" ht="15">
      <c r="A173" s="270">
        <v>178</v>
      </c>
      <c r="B173" s="119" t="s">
        <v>1917</v>
      </c>
    </row>
    <row r="174" spans="1:2" ht="15">
      <c r="A174" s="270">
        <v>179</v>
      </c>
      <c r="B174" s="119" t="s">
        <v>1918</v>
      </c>
    </row>
    <row r="175" spans="1:2" ht="15">
      <c r="A175" s="270">
        <v>180</v>
      </c>
      <c r="B175" s="119" t="s">
        <v>1920</v>
      </c>
    </row>
    <row r="176" spans="1:2" ht="15">
      <c r="A176" s="270">
        <v>181</v>
      </c>
      <c r="B176" s="119" t="s">
        <v>1921</v>
      </c>
    </row>
    <row r="177" spans="1:2" ht="15">
      <c r="A177" s="270">
        <v>182</v>
      </c>
      <c r="B177" s="119" t="s">
        <v>1516</v>
      </c>
    </row>
    <row r="178" spans="1:2" ht="15">
      <c r="A178" s="270">
        <v>183</v>
      </c>
      <c r="B178" s="119" t="s">
        <v>1517</v>
      </c>
    </row>
    <row r="179" spans="1:2" ht="15">
      <c r="A179" s="270">
        <v>184</v>
      </c>
      <c r="B179" s="119" t="s">
        <v>1518</v>
      </c>
    </row>
    <row r="180" spans="1:2" ht="15">
      <c r="A180" s="270">
        <v>185</v>
      </c>
      <c r="B180" s="119" t="s">
        <v>365</v>
      </c>
    </row>
    <row r="181" spans="1:2" ht="15">
      <c r="A181" s="270">
        <v>186</v>
      </c>
      <c r="B181" s="119" t="s">
        <v>366</v>
      </c>
    </row>
    <row r="182" spans="1:2" ht="15">
      <c r="A182" s="270">
        <v>187</v>
      </c>
      <c r="B182" s="119" t="s">
        <v>367</v>
      </c>
    </row>
    <row r="183" spans="1:2" ht="15">
      <c r="A183" s="270">
        <v>188</v>
      </c>
      <c r="B183" s="119" t="s">
        <v>368</v>
      </c>
    </row>
    <row r="184" spans="1:2" ht="15">
      <c r="A184" s="270">
        <v>189</v>
      </c>
      <c r="B184" s="119" t="s">
        <v>1022</v>
      </c>
    </row>
    <row r="185" spans="1:2" ht="15">
      <c r="A185" s="270">
        <v>190</v>
      </c>
      <c r="B185" s="119" t="s">
        <v>1023</v>
      </c>
    </row>
    <row r="186" spans="1:2" ht="15">
      <c r="A186" s="270">
        <v>191</v>
      </c>
      <c r="B186" s="119" t="s">
        <v>1024</v>
      </c>
    </row>
    <row r="187" spans="1:2" ht="15">
      <c r="A187" s="270">
        <v>192</v>
      </c>
      <c r="B187" s="119" t="s">
        <v>1025</v>
      </c>
    </row>
    <row r="188" spans="1:2" ht="15">
      <c r="A188" s="270">
        <v>193</v>
      </c>
      <c r="B188" s="119" t="s">
        <v>1027</v>
      </c>
    </row>
    <row r="189" spans="1:2" ht="15">
      <c r="A189" s="270">
        <v>194</v>
      </c>
      <c r="B189" s="119" t="s">
        <v>539</v>
      </c>
    </row>
    <row r="190" spans="1:2" ht="15">
      <c r="A190" s="270">
        <v>195</v>
      </c>
      <c r="B190" s="119" t="s">
        <v>540</v>
      </c>
    </row>
    <row r="191" spans="1:2" ht="15">
      <c r="A191" s="270">
        <v>196</v>
      </c>
      <c r="B191" s="119" t="s">
        <v>541</v>
      </c>
    </row>
    <row r="192" spans="1:2" ht="15">
      <c r="A192" s="270">
        <v>197</v>
      </c>
      <c r="B192" s="119" t="s">
        <v>1064</v>
      </c>
    </row>
    <row r="193" spans="1:2" ht="15">
      <c r="A193" s="270">
        <v>198</v>
      </c>
      <c r="B193" s="119" t="s">
        <v>1066</v>
      </c>
    </row>
    <row r="194" spans="1:2" ht="15">
      <c r="A194" s="270">
        <v>199</v>
      </c>
      <c r="B194" s="119" t="s">
        <v>1067</v>
      </c>
    </row>
    <row r="195" spans="1:2" ht="15">
      <c r="A195" s="270">
        <v>200</v>
      </c>
      <c r="B195" s="119" t="s">
        <v>543</v>
      </c>
    </row>
    <row r="196" spans="1:2" ht="15">
      <c r="A196" s="270">
        <v>201</v>
      </c>
      <c r="B196" s="119" t="s">
        <v>1069</v>
      </c>
    </row>
    <row r="197" spans="1:2" ht="15">
      <c r="A197" s="270">
        <v>202</v>
      </c>
      <c r="B197" s="119" t="s">
        <v>1070</v>
      </c>
    </row>
    <row r="198" spans="1:2" ht="15">
      <c r="A198" s="270">
        <v>203</v>
      </c>
      <c r="B198" s="119" t="s">
        <v>706</v>
      </c>
    </row>
    <row r="199" spans="1:2" ht="15">
      <c r="A199" s="270">
        <v>204</v>
      </c>
      <c r="B199" s="119" t="s">
        <v>707</v>
      </c>
    </row>
    <row r="200" spans="1:2" ht="15">
      <c r="A200" s="270">
        <v>205</v>
      </c>
      <c r="B200" s="119" t="s">
        <v>708</v>
      </c>
    </row>
    <row r="201" spans="1:2" ht="15">
      <c r="A201" s="270">
        <v>206</v>
      </c>
      <c r="B201" s="119" t="s">
        <v>709</v>
      </c>
    </row>
    <row r="202" spans="1:2" ht="15">
      <c r="A202" s="270">
        <v>207</v>
      </c>
      <c r="B202" s="119" t="s">
        <v>710</v>
      </c>
    </row>
    <row r="203" spans="1:2" ht="15">
      <c r="A203" s="270">
        <v>208</v>
      </c>
      <c r="B203" s="119" t="s">
        <v>1310</v>
      </c>
    </row>
    <row r="204" spans="1:2" ht="15">
      <c r="A204" s="270">
        <v>209</v>
      </c>
      <c r="B204" s="119" t="s">
        <v>1312</v>
      </c>
    </row>
    <row r="205" spans="1:2" ht="15">
      <c r="A205" s="270">
        <v>210</v>
      </c>
      <c r="B205" s="119" t="s">
        <v>1314</v>
      </c>
    </row>
    <row r="206" spans="1:2" ht="15">
      <c r="A206" s="270">
        <v>211</v>
      </c>
      <c r="B206" s="119" t="s">
        <v>1316</v>
      </c>
    </row>
    <row r="207" spans="1:2" ht="15">
      <c r="A207" s="270">
        <v>212</v>
      </c>
      <c r="B207" s="119" t="s">
        <v>1318</v>
      </c>
    </row>
    <row r="208" spans="1:2" ht="15">
      <c r="A208" s="270">
        <v>213</v>
      </c>
      <c r="B208" s="119" t="s">
        <v>1319</v>
      </c>
    </row>
    <row r="209" spans="1:2" ht="15">
      <c r="A209" s="270">
        <v>214</v>
      </c>
      <c r="B209" s="119" t="s">
        <v>1320</v>
      </c>
    </row>
    <row r="210" spans="1:2" ht="15">
      <c r="A210" s="270">
        <v>215</v>
      </c>
      <c r="B210" s="119" t="s">
        <v>1321</v>
      </c>
    </row>
    <row r="211" spans="1:2" ht="15">
      <c r="A211" s="270">
        <v>216</v>
      </c>
      <c r="B211" s="119" t="s">
        <v>155</v>
      </c>
    </row>
    <row r="212" spans="1:2" ht="15">
      <c r="A212" s="270">
        <v>217</v>
      </c>
      <c r="B212" s="119" t="s">
        <v>156</v>
      </c>
    </row>
    <row r="213" spans="1:2" ht="15">
      <c r="A213" s="270">
        <v>218</v>
      </c>
      <c r="B213" s="119" t="s">
        <v>157</v>
      </c>
    </row>
    <row r="214" spans="1:2" ht="15">
      <c r="A214" s="270">
        <v>219</v>
      </c>
      <c r="B214" s="119" t="s">
        <v>158</v>
      </c>
    </row>
    <row r="215" spans="1:2" ht="15">
      <c r="A215" s="270">
        <v>220</v>
      </c>
      <c r="B215" s="119" t="s">
        <v>160</v>
      </c>
    </row>
    <row r="216" spans="1:2" ht="15">
      <c r="A216" s="270">
        <v>221</v>
      </c>
      <c r="B216" s="119" t="s">
        <v>161</v>
      </c>
    </row>
    <row r="217" spans="1:2" ht="15">
      <c r="A217" s="270">
        <v>222</v>
      </c>
      <c r="B217" s="119" t="s">
        <v>163</v>
      </c>
    </row>
    <row r="218" spans="1:2" ht="15">
      <c r="A218" s="270">
        <v>223</v>
      </c>
      <c r="B218" s="37" t="s">
        <v>1795</v>
      </c>
    </row>
    <row r="219" spans="1:2" ht="15">
      <c r="A219" s="270">
        <v>224</v>
      </c>
      <c r="B219" s="37" t="s">
        <v>1796</v>
      </c>
    </row>
    <row r="220" spans="1:2" ht="15">
      <c r="A220" s="270">
        <v>225</v>
      </c>
      <c r="B220" s="37" t="s">
        <v>1797</v>
      </c>
    </row>
    <row r="221" spans="1:2" ht="15">
      <c r="A221" s="270">
        <v>226</v>
      </c>
      <c r="B221" s="37" t="s">
        <v>1798</v>
      </c>
    </row>
    <row r="222" spans="1:2" ht="15">
      <c r="A222" s="270">
        <v>227</v>
      </c>
      <c r="B222" s="37" t="s">
        <v>1799</v>
      </c>
    </row>
    <row r="223" spans="1:2" ht="15.75" thickBot="1">
      <c r="A223" s="270">
        <v>228</v>
      </c>
      <c r="B223" s="37" t="s">
        <v>1800</v>
      </c>
    </row>
    <row r="224" spans="1:2" ht="16.5" thickBot="1" thickTop="1">
      <c r="A224" s="270">
        <v>229</v>
      </c>
      <c r="B224" s="146" t="s">
        <v>1142</v>
      </c>
    </row>
    <row r="225" spans="1:2" ht="15.75" thickBot="1">
      <c r="A225" s="270">
        <v>230</v>
      </c>
      <c r="B225" s="149" t="s">
        <v>1143</v>
      </c>
    </row>
    <row r="226" spans="1:2" ht="15.75" thickBot="1">
      <c r="A226" s="270">
        <v>231</v>
      </c>
      <c r="B226" s="149" t="s">
        <v>1144</v>
      </c>
    </row>
    <row r="227" spans="1:2" ht="15.75" thickBot="1">
      <c r="A227" s="270">
        <v>232</v>
      </c>
      <c r="B227" s="149" t="s">
        <v>1145</v>
      </c>
    </row>
    <row r="228" spans="1:2" ht="15.75" thickBot="1">
      <c r="A228" s="270">
        <v>233</v>
      </c>
      <c r="B228" s="149" t="s">
        <v>1146</v>
      </c>
    </row>
    <row r="229" spans="1:2" ht="15.75" thickBot="1">
      <c r="A229" s="270">
        <v>234</v>
      </c>
      <c r="B229" s="149" t="s">
        <v>1878</v>
      </c>
    </row>
    <row r="230" spans="1:2" ht="15.75" thickBot="1">
      <c r="A230" s="270">
        <v>235</v>
      </c>
      <c r="B230" s="149" t="s">
        <v>1879</v>
      </c>
    </row>
    <row r="231" spans="1:2" ht="15.75" thickBot="1">
      <c r="A231" s="270">
        <v>236</v>
      </c>
      <c r="B231" s="149" t="s">
        <v>1880</v>
      </c>
    </row>
    <row r="232" spans="1:2" ht="15.75" thickBot="1">
      <c r="A232" s="270">
        <v>237</v>
      </c>
      <c r="B232" s="149" t="s">
        <v>1147</v>
      </c>
    </row>
    <row r="233" spans="1:2" ht="15.75" thickBot="1">
      <c r="A233" s="270">
        <v>238</v>
      </c>
      <c r="B233" s="149" t="s">
        <v>1148</v>
      </c>
    </row>
    <row r="234" spans="1:2" ht="15.75" thickBot="1">
      <c r="A234" s="270">
        <v>239</v>
      </c>
      <c r="B234" s="149" t="s">
        <v>1149</v>
      </c>
    </row>
    <row r="235" spans="1:2" ht="15.75" thickBot="1">
      <c r="A235" s="270">
        <v>240</v>
      </c>
      <c r="B235" s="149" t="s">
        <v>1150</v>
      </c>
    </row>
    <row r="236" spans="1:2" ht="15.75" thickBot="1">
      <c r="A236" s="270">
        <v>241</v>
      </c>
      <c r="B236" s="149" t="s">
        <v>1151</v>
      </c>
    </row>
    <row r="237" spans="1:2" ht="15.75" thickBot="1">
      <c r="A237" s="270">
        <v>242</v>
      </c>
      <c r="B237" s="149" t="s">
        <v>1152</v>
      </c>
    </row>
    <row r="238" spans="1:2" ht="15.75" thickBot="1">
      <c r="A238" s="270">
        <v>243</v>
      </c>
      <c r="B238" s="149" t="s">
        <v>1153</v>
      </c>
    </row>
    <row r="239" spans="1:2" ht="15.75" thickBot="1">
      <c r="A239" s="270">
        <v>244</v>
      </c>
      <c r="B239" s="149" t="s">
        <v>1154</v>
      </c>
    </row>
    <row r="240" spans="1:2" ht="15.75" thickBot="1">
      <c r="A240" s="270">
        <v>245</v>
      </c>
      <c r="B240" s="149" t="s">
        <v>1155</v>
      </c>
    </row>
    <row r="241" spans="1:2" ht="15.75" thickBot="1">
      <c r="A241" s="270">
        <v>246</v>
      </c>
      <c r="B241" s="149" t="s">
        <v>1156</v>
      </c>
    </row>
    <row r="242" spans="1:2" ht="15.75" thickBot="1">
      <c r="A242" s="270">
        <v>247</v>
      </c>
      <c r="B242" s="149" t="s">
        <v>1157</v>
      </c>
    </row>
    <row r="243" spans="1:2" ht="15.75" thickBot="1">
      <c r="A243" s="270">
        <v>248</v>
      </c>
      <c r="B243" s="149" t="s">
        <v>1158</v>
      </c>
    </row>
    <row r="244" spans="1:2" ht="15.75" thickBot="1">
      <c r="A244" s="270">
        <v>249</v>
      </c>
      <c r="B244" s="149" t="s">
        <v>1159</v>
      </c>
    </row>
    <row r="245" spans="1:2" ht="15.75" thickBot="1">
      <c r="A245" s="270">
        <v>250</v>
      </c>
      <c r="B245" s="149" t="s">
        <v>1160</v>
      </c>
    </row>
    <row r="246" spans="1:2" ht="15.75" thickBot="1">
      <c r="A246" s="270">
        <v>251</v>
      </c>
      <c r="B246" s="149" t="s">
        <v>1161</v>
      </c>
    </row>
    <row r="247" spans="1:2" ht="15.75" thickBot="1">
      <c r="A247" s="270">
        <v>252</v>
      </c>
      <c r="B247" s="149" t="s">
        <v>1162</v>
      </c>
    </row>
    <row r="248" spans="1:2" ht="15.75" thickBot="1">
      <c r="A248" s="270">
        <v>253</v>
      </c>
      <c r="B248" s="149" t="s">
        <v>1163</v>
      </c>
    </row>
    <row r="249" spans="1:2" ht="15.75" thickBot="1">
      <c r="A249" s="270">
        <v>254</v>
      </c>
      <c r="B249" s="149" t="s">
        <v>1164</v>
      </c>
    </row>
    <row r="250" spans="1:2" ht="15.75" thickBot="1">
      <c r="A250" s="270">
        <v>255</v>
      </c>
      <c r="B250" s="152" t="s">
        <v>1165</v>
      </c>
    </row>
    <row r="251" spans="1:2" ht="15.75" thickBot="1">
      <c r="A251" s="270">
        <v>256</v>
      </c>
      <c r="B251" s="149" t="s">
        <v>1166</v>
      </c>
    </row>
    <row r="252" spans="1:2" ht="15.75" thickBot="1">
      <c r="A252" s="270">
        <v>257</v>
      </c>
      <c r="B252" s="149" t="s">
        <v>1167</v>
      </c>
    </row>
    <row r="253" spans="1:2" ht="15.75" thickBot="1">
      <c r="A253" s="270">
        <v>258</v>
      </c>
      <c r="B253" s="149" t="s">
        <v>1168</v>
      </c>
    </row>
    <row r="254" spans="1:2" ht="15.75" thickBot="1">
      <c r="A254" s="270">
        <v>259</v>
      </c>
      <c r="B254" s="149" t="s">
        <v>1169</v>
      </c>
    </row>
    <row r="255" spans="1:2" ht="15.75" thickBot="1">
      <c r="A255" s="270">
        <v>260</v>
      </c>
      <c r="B255" s="149" t="s">
        <v>1170</v>
      </c>
    </row>
    <row r="256" spans="1:2" ht="15.75" thickBot="1">
      <c r="A256" s="270">
        <v>261</v>
      </c>
      <c r="B256" s="149" t="s">
        <v>1171</v>
      </c>
    </row>
    <row r="257" spans="1:2" ht="15.75" thickBot="1">
      <c r="A257" s="270">
        <v>262</v>
      </c>
      <c r="B257" s="149" t="s">
        <v>1172</v>
      </c>
    </row>
    <row r="258" spans="1:2" ht="15.75" thickBot="1">
      <c r="A258" s="270">
        <v>263</v>
      </c>
      <c r="B258" s="149" t="s">
        <v>1173</v>
      </c>
    </row>
    <row r="259" spans="1:2" ht="15.75" thickBot="1">
      <c r="A259" s="270">
        <v>264</v>
      </c>
      <c r="B259" s="149" t="s">
        <v>1174</v>
      </c>
    </row>
    <row r="260" spans="1:2" ht="15.75" thickBot="1">
      <c r="A260" s="270">
        <v>265</v>
      </c>
      <c r="B260" s="149" t="s">
        <v>1175</v>
      </c>
    </row>
    <row r="261" spans="1:2" ht="15.75" thickBot="1">
      <c r="A261" s="270">
        <v>266</v>
      </c>
      <c r="B261" s="149" t="s">
        <v>1176</v>
      </c>
    </row>
    <row r="262" spans="1:2" ht="15.75" thickBot="1">
      <c r="A262" s="270">
        <v>267</v>
      </c>
      <c r="B262" s="149" t="s">
        <v>1177</v>
      </c>
    </row>
    <row r="263" spans="1:2" ht="15.75" thickBot="1">
      <c r="A263" s="270">
        <v>268</v>
      </c>
      <c r="B263" s="152" t="s">
        <v>1178</v>
      </c>
    </row>
    <row r="264" spans="1:2" ht="15.75" thickBot="1">
      <c r="A264" s="270">
        <v>269</v>
      </c>
      <c r="B264" s="149" t="s">
        <v>1179</v>
      </c>
    </row>
    <row r="265" spans="1:2" ht="15.75" thickBot="1">
      <c r="A265" s="270">
        <v>270</v>
      </c>
      <c r="B265" s="149" t="s">
        <v>1180</v>
      </c>
    </row>
    <row r="266" spans="1:2" ht="15.75" thickBot="1">
      <c r="A266" s="270">
        <v>271</v>
      </c>
      <c r="B266" s="149" t="s">
        <v>1823</v>
      </c>
    </row>
    <row r="267" spans="1:2" ht="15.75" thickBot="1">
      <c r="A267" s="270">
        <v>272</v>
      </c>
      <c r="B267" s="149" t="s">
        <v>1883</v>
      </c>
    </row>
    <row r="268" spans="1:2" ht="15.75" thickBot="1">
      <c r="A268" s="270">
        <v>273</v>
      </c>
      <c r="B268" s="149" t="s">
        <v>1884</v>
      </c>
    </row>
    <row r="269" spans="1:2" ht="15.75" thickBot="1">
      <c r="A269" s="270">
        <v>274</v>
      </c>
      <c r="B269" s="149" t="s">
        <v>1824</v>
      </c>
    </row>
    <row r="270" spans="1:2" ht="15.75" thickBot="1">
      <c r="A270" s="270">
        <v>275</v>
      </c>
      <c r="B270" s="149" t="s">
        <v>1825</v>
      </c>
    </row>
    <row r="271" spans="1:2" ht="15.75" thickBot="1">
      <c r="A271" s="270">
        <v>276</v>
      </c>
      <c r="B271" s="149" t="s">
        <v>1826</v>
      </c>
    </row>
    <row r="272" spans="1:2" ht="15.75" thickBot="1">
      <c r="A272" s="270">
        <v>277</v>
      </c>
      <c r="B272" s="149" t="s">
        <v>1827</v>
      </c>
    </row>
    <row r="273" spans="1:2" ht="15.75" thickBot="1">
      <c r="A273" s="270">
        <v>278</v>
      </c>
      <c r="B273" s="153" t="s">
        <v>1885</v>
      </c>
    </row>
    <row r="274" spans="1:2" ht="15.75" thickBot="1">
      <c r="A274" s="270">
        <v>279</v>
      </c>
      <c r="B274" s="149" t="s">
        <v>1886</v>
      </c>
    </row>
    <row r="275" spans="1:2" ht="15.75" thickBot="1">
      <c r="A275" s="270">
        <v>280</v>
      </c>
      <c r="B275" s="154" t="s">
        <v>1887</v>
      </c>
    </row>
    <row r="276" spans="1:2" ht="15.75" thickBot="1">
      <c r="A276" s="270">
        <v>281</v>
      </c>
      <c r="B276" s="274" t="s">
        <v>1181</v>
      </c>
    </row>
    <row r="277" spans="1:2" ht="15.75" thickBot="1">
      <c r="A277" s="270">
        <v>282</v>
      </c>
      <c r="B277" s="275" t="s">
        <v>1183</v>
      </c>
    </row>
    <row r="278" spans="1:2" ht="15.75" thickBot="1">
      <c r="A278" s="270">
        <v>283</v>
      </c>
      <c r="B278" s="275" t="s">
        <v>1184</v>
      </c>
    </row>
    <row r="279" spans="1:2" ht="15">
      <c r="A279" s="270">
        <v>284</v>
      </c>
      <c r="B279" s="276" t="s">
        <v>1185</v>
      </c>
    </row>
    <row r="280" spans="1:2" ht="15">
      <c r="A280" s="270">
        <v>285</v>
      </c>
      <c r="B280" s="277" t="s">
        <v>890</v>
      </c>
    </row>
    <row r="281" spans="1:2" ht="18.75" thickBot="1">
      <c r="A281" s="270">
        <v>287</v>
      </c>
      <c r="B281" s="278" t="s">
        <v>1681</v>
      </c>
    </row>
    <row r="282" spans="1:2" ht="15">
      <c r="A282" s="270">
        <v>288</v>
      </c>
      <c r="B282" s="279" t="s">
        <v>1001</v>
      </c>
    </row>
    <row r="283" spans="1:2" ht="15.75" thickBot="1">
      <c r="A283" s="270">
        <v>289</v>
      </c>
      <c r="B283" s="280" t="s">
        <v>1546</v>
      </c>
    </row>
    <row r="284" spans="1:2" ht="15.75" thickBot="1">
      <c r="A284" s="270">
        <v>290</v>
      </c>
      <c r="B284" s="26" t="s">
        <v>1547</v>
      </c>
    </row>
    <row r="285" spans="1:2" ht="15">
      <c r="A285" s="270">
        <v>291</v>
      </c>
      <c r="B285" s="279" t="s">
        <v>1415</v>
      </c>
    </row>
    <row r="286" spans="1:2" ht="15.75" thickBot="1">
      <c r="A286" s="270">
        <v>292</v>
      </c>
      <c r="B286" s="280" t="s">
        <v>1099</v>
      </c>
    </row>
    <row r="287" spans="1:2" ht="25.5">
      <c r="A287" s="270">
        <v>293</v>
      </c>
      <c r="B287" s="281" t="s">
        <v>316</v>
      </c>
    </row>
    <row r="288" spans="1:2" ht="15">
      <c r="A288" s="270">
        <v>294</v>
      </c>
      <c r="B288" s="282" t="s">
        <v>1678</v>
      </c>
    </row>
    <row r="289" spans="1:2" ht="26.25" thickBot="1">
      <c r="A289" s="270">
        <v>295</v>
      </c>
      <c r="B289" s="282" t="s">
        <v>1679</v>
      </c>
    </row>
    <row r="290" spans="1:2" ht="15.75" thickBot="1">
      <c r="A290" s="270">
        <v>296</v>
      </c>
      <c r="B290" s="275" t="s">
        <v>1182</v>
      </c>
    </row>
    <row r="291" spans="1:2" ht="15.75" thickBot="1">
      <c r="A291" s="270">
        <v>297</v>
      </c>
      <c r="B291" s="275" t="s">
        <v>891</v>
      </c>
    </row>
    <row r="292" spans="1:2" ht="18">
      <c r="A292" s="270">
        <v>298</v>
      </c>
      <c r="B292" s="283" t="s">
        <v>1682</v>
      </c>
    </row>
    <row r="293" spans="1:2" ht="15.75">
      <c r="A293" s="270">
        <v>299</v>
      </c>
      <c r="B293" s="261" t="s">
        <v>169</v>
      </c>
    </row>
    <row r="294" spans="1:2" ht="15">
      <c r="A294" s="270">
        <v>301</v>
      </c>
      <c r="B294" s="247" t="s">
        <v>251</v>
      </c>
    </row>
    <row r="295" spans="1:2" ht="15.75">
      <c r="A295" s="270">
        <v>308</v>
      </c>
      <c r="B295" s="261" t="s">
        <v>252</v>
      </c>
    </row>
    <row r="296" spans="1:2" ht="76.5">
      <c r="A296" s="270">
        <v>309</v>
      </c>
      <c r="B296" s="249" t="s">
        <v>1931</v>
      </c>
    </row>
    <row r="297" spans="1:2" ht="63.75">
      <c r="A297" s="270">
        <v>311</v>
      </c>
      <c r="B297" s="249" t="s">
        <v>154</v>
      </c>
    </row>
    <row r="298" spans="1:2" ht="63.75">
      <c r="A298" s="270">
        <v>312</v>
      </c>
      <c r="B298" s="249" t="s">
        <v>1186</v>
      </c>
    </row>
    <row r="299" spans="1:2" ht="51">
      <c r="A299" s="270">
        <v>313</v>
      </c>
      <c r="B299" s="249" t="s">
        <v>301</v>
      </c>
    </row>
    <row r="300" spans="1:2" ht="15">
      <c r="A300" s="270">
        <v>314</v>
      </c>
      <c r="B300" s="249" t="s">
        <v>299</v>
      </c>
    </row>
    <row r="301" spans="1:2" ht="25.5">
      <c r="A301" s="471">
        <v>315</v>
      </c>
      <c r="B301" s="249" t="str">
        <f>$B$1483</f>
        <v>Error messages are often very short due to the little space available. The most important ones are:</v>
      </c>
    </row>
    <row r="302" spans="1:2" ht="25.5">
      <c r="A302" s="270">
        <v>316</v>
      </c>
      <c r="B302" s="253" t="s">
        <v>300</v>
      </c>
    </row>
    <row r="303" spans="1:2" ht="25.5">
      <c r="A303" s="270">
        <v>317</v>
      </c>
      <c r="B303" s="253" t="s">
        <v>1490</v>
      </c>
    </row>
    <row r="304" spans="1:2" ht="15">
      <c r="A304" s="270">
        <v>320</v>
      </c>
      <c r="B304" s="189" t="s">
        <v>1844</v>
      </c>
    </row>
    <row r="305" spans="1:2" ht="25.5">
      <c r="A305" s="270">
        <v>321</v>
      </c>
      <c r="B305" s="246" t="s">
        <v>302</v>
      </c>
    </row>
    <row r="306" spans="1:2" ht="15">
      <c r="A306" s="270">
        <v>322</v>
      </c>
      <c r="B306" s="284" t="s">
        <v>1187</v>
      </c>
    </row>
    <row r="307" spans="1:2" ht="15">
      <c r="A307" s="270">
        <v>323</v>
      </c>
      <c r="B307" s="258" t="s">
        <v>1673</v>
      </c>
    </row>
    <row r="308" spans="1:2" ht="15">
      <c r="A308" s="270">
        <v>324</v>
      </c>
      <c r="B308" s="285" t="s">
        <v>1188</v>
      </c>
    </row>
    <row r="309" spans="1:2" ht="15">
      <c r="A309" s="270">
        <v>325</v>
      </c>
      <c r="B309" s="286" t="s">
        <v>1674</v>
      </c>
    </row>
    <row r="310" spans="1:2" ht="15">
      <c r="A310" s="270">
        <v>326</v>
      </c>
      <c r="B310" s="285" t="s">
        <v>303</v>
      </c>
    </row>
    <row r="311" spans="1:2" ht="25.5">
      <c r="A311" s="270">
        <v>327</v>
      </c>
      <c r="B311" s="285" t="s">
        <v>1755</v>
      </c>
    </row>
    <row r="312" spans="1:2" ht="15">
      <c r="A312" s="270">
        <v>328</v>
      </c>
      <c r="B312" s="287" t="s">
        <v>1049</v>
      </c>
    </row>
    <row r="313" spans="1:2" ht="25.5">
      <c r="A313" s="270">
        <v>329</v>
      </c>
      <c r="B313" s="287" t="s">
        <v>1479</v>
      </c>
    </row>
    <row r="314" spans="1:2" ht="15">
      <c r="A314" s="270">
        <v>330</v>
      </c>
      <c r="B314" s="285" t="s">
        <v>1675</v>
      </c>
    </row>
    <row r="315" spans="1:2" ht="25.5">
      <c r="A315" s="471">
        <v>331</v>
      </c>
      <c r="B315" s="285" t="str">
        <f>$B$1484</f>
        <v>Grey shaded areas should be filled by Member States before publishing a customized version of the template.</v>
      </c>
    </row>
    <row r="316" spans="1:2" ht="15">
      <c r="A316" s="270">
        <v>332</v>
      </c>
      <c r="B316" s="285" t="s">
        <v>908</v>
      </c>
    </row>
    <row r="317" spans="1:2" ht="76.5">
      <c r="A317" s="270">
        <v>333</v>
      </c>
      <c r="B317" s="249" t="s">
        <v>1055</v>
      </c>
    </row>
    <row r="318" spans="1:2" ht="76.5">
      <c r="A318" s="270">
        <v>334</v>
      </c>
      <c r="B318" s="249" t="s">
        <v>1511</v>
      </c>
    </row>
    <row r="319" spans="1:2" ht="63.75">
      <c r="A319" s="270">
        <v>335</v>
      </c>
      <c r="B319" s="250" t="s">
        <v>206</v>
      </c>
    </row>
    <row r="320" spans="1:2" ht="77.25" thickBot="1">
      <c r="A320" s="270">
        <v>336</v>
      </c>
      <c r="B320" s="249" t="s">
        <v>1189</v>
      </c>
    </row>
    <row r="321" spans="1:2" ht="115.5" thickBot="1">
      <c r="A321" s="270">
        <v>337</v>
      </c>
      <c r="B321" s="245" t="s">
        <v>970</v>
      </c>
    </row>
    <row r="322" spans="1:2" ht="15.75">
      <c r="A322" s="270">
        <v>338</v>
      </c>
      <c r="B322" s="261" t="s">
        <v>207</v>
      </c>
    </row>
    <row r="323" spans="1:2" ht="25.5">
      <c r="A323" s="270">
        <v>339</v>
      </c>
      <c r="B323" s="248" t="s">
        <v>1199</v>
      </c>
    </row>
    <row r="324" spans="1:2" ht="15">
      <c r="A324" s="270">
        <v>340</v>
      </c>
      <c r="B324" s="288" t="s">
        <v>1663</v>
      </c>
    </row>
    <row r="325" spans="1:2" ht="15.75">
      <c r="A325" s="270">
        <v>341</v>
      </c>
      <c r="B325" s="251" t="s">
        <v>1664</v>
      </c>
    </row>
    <row r="326" spans="1:2" ht="15">
      <c r="A326" s="270">
        <v>342</v>
      </c>
      <c r="B326" s="258" t="s">
        <v>1665</v>
      </c>
    </row>
    <row r="327" spans="1:2" ht="15">
      <c r="A327" s="270">
        <v>343</v>
      </c>
      <c r="B327" s="248" t="s">
        <v>1667</v>
      </c>
    </row>
    <row r="328" spans="1:2" ht="15">
      <c r="A328" s="270">
        <v>344</v>
      </c>
      <c r="B328" s="260" t="s">
        <v>1666</v>
      </c>
    </row>
    <row r="329" spans="1:2" ht="15">
      <c r="A329" s="270">
        <v>345</v>
      </c>
      <c r="B329" s="248" t="s">
        <v>1668</v>
      </c>
    </row>
    <row r="330" spans="1:2" ht="15">
      <c r="A330" s="270">
        <v>346</v>
      </c>
      <c r="B330" s="260" t="s">
        <v>253</v>
      </c>
    </row>
    <row r="331" spans="1:2" ht="15">
      <c r="A331" s="270">
        <v>347</v>
      </c>
      <c r="B331" s="258" t="s">
        <v>1669</v>
      </c>
    </row>
    <row r="332" spans="1:2" ht="15">
      <c r="A332" s="270">
        <v>348</v>
      </c>
      <c r="B332" s="252" t="s">
        <v>1670</v>
      </c>
    </row>
    <row r="333" spans="1:2" ht="15">
      <c r="A333" s="270">
        <v>349</v>
      </c>
      <c r="B333" s="248" t="s">
        <v>1671</v>
      </c>
    </row>
    <row r="334" spans="1:2" ht="15">
      <c r="A334" s="270">
        <v>350</v>
      </c>
      <c r="B334" s="252" t="s">
        <v>1672</v>
      </c>
    </row>
    <row r="335" spans="1:2" ht="15.75">
      <c r="A335" s="270">
        <v>351</v>
      </c>
      <c r="B335" s="251" t="s">
        <v>1677</v>
      </c>
    </row>
    <row r="336" spans="1:2" ht="15.75" thickBot="1">
      <c r="A336" s="270">
        <v>352</v>
      </c>
      <c r="B336" s="289" t="s">
        <v>77</v>
      </c>
    </row>
    <row r="337" spans="1:2" ht="26.25" thickBot="1">
      <c r="A337" s="270">
        <v>353</v>
      </c>
      <c r="B337" s="290" t="s">
        <v>893</v>
      </c>
    </row>
    <row r="338" spans="1:2" ht="15.75" thickBot="1">
      <c r="A338" s="270">
        <v>354</v>
      </c>
      <c r="B338" s="291" t="s">
        <v>902</v>
      </c>
    </row>
    <row r="339" spans="1:2" ht="15.75" thickBot="1">
      <c r="A339" s="270">
        <v>355</v>
      </c>
      <c r="B339" s="292" t="s">
        <v>903</v>
      </c>
    </row>
    <row r="340" spans="1:2" ht="15.75" thickBot="1">
      <c r="A340" s="270">
        <v>356</v>
      </c>
      <c r="B340" s="292" t="s">
        <v>904</v>
      </c>
    </row>
    <row r="341" spans="1:2" ht="15">
      <c r="A341" s="270">
        <v>357</v>
      </c>
      <c r="B341" s="292" t="s">
        <v>906</v>
      </c>
    </row>
    <row r="342" spans="1:2" ht="15">
      <c r="A342" s="270">
        <v>358</v>
      </c>
      <c r="B342" s="293" t="s">
        <v>905</v>
      </c>
    </row>
    <row r="343" spans="1:2" ht="15">
      <c r="A343" s="270">
        <v>361</v>
      </c>
      <c r="B343" s="294" t="s">
        <v>907</v>
      </c>
    </row>
    <row r="344" spans="1:2" ht="15.75">
      <c r="A344" s="270">
        <v>363</v>
      </c>
      <c r="B344" s="261" t="s">
        <v>1100</v>
      </c>
    </row>
    <row r="345" spans="1:2" ht="15">
      <c r="A345" s="270">
        <v>364</v>
      </c>
      <c r="B345" s="295" t="s">
        <v>1400</v>
      </c>
    </row>
    <row r="346" spans="1:2" ht="15">
      <c r="A346" s="270">
        <v>365</v>
      </c>
      <c r="B346" s="258" t="s">
        <v>208</v>
      </c>
    </row>
    <row r="347" spans="1:2" ht="22.5">
      <c r="A347" s="471">
        <v>366</v>
      </c>
      <c r="B347" s="254" t="str">
        <f>$B$1485</f>
        <v>This name should be the same as has been already been used for correspondence with the competent authority.</v>
      </c>
    </row>
    <row r="348" spans="1:2" ht="15">
      <c r="A348" s="270">
        <v>367</v>
      </c>
      <c r="B348" s="258" t="s">
        <v>442</v>
      </c>
    </row>
    <row r="349" spans="1:2" ht="15">
      <c r="A349" s="270">
        <v>369</v>
      </c>
      <c r="B349" s="296" t="s">
        <v>280</v>
      </c>
    </row>
    <row r="350" spans="1:2" ht="15">
      <c r="A350" s="270">
        <v>370</v>
      </c>
      <c r="B350" s="258" t="s">
        <v>407</v>
      </c>
    </row>
    <row r="351" spans="1:2" ht="22.5">
      <c r="A351" s="270">
        <v>373</v>
      </c>
      <c r="B351" s="254" t="s">
        <v>975</v>
      </c>
    </row>
    <row r="352" spans="1:2" ht="15">
      <c r="A352" s="471">
        <v>374</v>
      </c>
      <c r="B352" s="258" t="str">
        <f>B1486</f>
        <v>Identification code of the installation in the registry:</v>
      </c>
    </row>
    <row r="353" spans="1:2" ht="22.5">
      <c r="A353" s="471">
        <v>375</v>
      </c>
      <c r="B353" s="254" t="str">
        <f>B1487</f>
        <v>This is usually a natural number, i.e. a code different from the permit identifier used in the registry.</v>
      </c>
    </row>
    <row r="354" spans="1:2" ht="15">
      <c r="A354" s="270">
        <v>377</v>
      </c>
      <c r="B354" s="258" t="s">
        <v>445</v>
      </c>
    </row>
    <row r="355" spans="1:2" ht="15">
      <c r="A355" s="270">
        <v>378</v>
      </c>
      <c r="B355" s="281" t="s">
        <v>337</v>
      </c>
    </row>
    <row r="356" spans="1:2" ht="22.5">
      <c r="A356" s="270">
        <v>379</v>
      </c>
      <c r="B356" s="254" t="s">
        <v>271</v>
      </c>
    </row>
    <row r="357" spans="1:2" ht="22.5">
      <c r="A357" s="270">
        <v>380</v>
      </c>
      <c r="B357" s="254" t="s">
        <v>446</v>
      </c>
    </row>
    <row r="358" spans="1:2" ht="15">
      <c r="A358" s="270">
        <v>381</v>
      </c>
      <c r="B358" s="297" t="s">
        <v>569</v>
      </c>
    </row>
    <row r="359" spans="1:2" ht="25.5">
      <c r="A359" s="270">
        <v>382</v>
      </c>
      <c r="B359" s="298" t="s">
        <v>567</v>
      </c>
    </row>
    <row r="360" spans="1:2" ht="15">
      <c r="A360" s="270">
        <v>383</v>
      </c>
      <c r="B360" s="299" t="s">
        <v>751</v>
      </c>
    </row>
    <row r="361" spans="1:2" ht="15">
      <c r="A361" s="270">
        <v>384</v>
      </c>
      <c r="B361" s="300" t="s">
        <v>750</v>
      </c>
    </row>
    <row r="362" spans="1:2" ht="15">
      <c r="A362" s="270">
        <v>385</v>
      </c>
      <c r="B362" s="298" t="s">
        <v>752</v>
      </c>
    </row>
    <row r="363" spans="1:2" ht="15">
      <c r="A363" s="270">
        <v>398</v>
      </c>
      <c r="B363" s="296" t="s">
        <v>209</v>
      </c>
    </row>
    <row r="364" spans="1:2" ht="33.75">
      <c r="A364" s="270">
        <v>399</v>
      </c>
      <c r="B364" s="254" t="s">
        <v>449</v>
      </c>
    </row>
    <row r="365" spans="1:2" ht="15">
      <c r="A365" s="270">
        <v>400</v>
      </c>
      <c r="B365" s="299" t="s">
        <v>448</v>
      </c>
    </row>
    <row r="366" spans="1:2" ht="15">
      <c r="A366" s="270">
        <v>401</v>
      </c>
      <c r="B366" s="301" t="s">
        <v>212</v>
      </c>
    </row>
    <row r="367" spans="1:2" ht="15">
      <c r="A367" s="270">
        <v>402</v>
      </c>
      <c r="B367" s="301" t="s">
        <v>213</v>
      </c>
    </row>
    <row r="368" spans="1:2" ht="15">
      <c r="A368" s="270">
        <v>403</v>
      </c>
      <c r="B368" s="301" t="s">
        <v>214</v>
      </c>
    </row>
    <row r="369" spans="1:2" ht="15">
      <c r="A369" s="270">
        <v>404</v>
      </c>
      <c r="B369" s="301" t="s">
        <v>172</v>
      </c>
    </row>
    <row r="370" spans="1:2" ht="15">
      <c r="A370" s="270">
        <v>405</v>
      </c>
      <c r="B370" s="301" t="s">
        <v>173</v>
      </c>
    </row>
    <row r="371" spans="1:2" ht="15">
      <c r="A371" s="270">
        <v>406</v>
      </c>
      <c r="B371" s="301" t="s">
        <v>174</v>
      </c>
    </row>
    <row r="372" spans="1:2" ht="15">
      <c r="A372" s="270">
        <v>407</v>
      </c>
      <c r="B372" s="301" t="s">
        <v>175</v>
      </c>
    </row>
    <row r="373" spans="1:2" ht="15">
      <c r="A373" s="270">
        <v>408</v>
      </c>
      <c r="B373" s="300" t="s">
        <v>176</v>
      </c>
    </row>
    <row r="374" spans="1:2" ht="15">
      <c r="A374" s="270">
        <v>409</v>
      </c>
      <c r="B374" s="296" t="s">
        <v>211</v>
      </c>
    </row>
    <row r="375" spans="1:2" ht="15">
      <c r="A375" s="270">
        <v>410</v>
      </c>
      <c r="B375" s="295" t="s">
        <v>1399</v>
      </c>
    </row>
    <row r="376" spans="1:2" ht="22.5">
      <c r="A376" s="270">
        <v>411</v>
      </c>
      <c r="B376" s="254" t="s">
        <v>753</v>
      </c>
    </row>
    <row r="377" spans="1:2" ht="15">
      <c r="A377" s="270">
        <v>412</v>
      </c>
      <c r="B377" s="296" t="s">
        <v>178</v>
      </c>
    </row>
    <row r="378" spans="1:2" ht="15">
      <c r="A378" s="270">
        <v>413</v>
      </c>
      <c r="B378" s="299" t="s">
        <v>210</v>
      </c>
    </row>
    <row r="379" spans="1:2" ht="15">
      <c r="A379" s="270">
        <v>414</v>
      </c>
      <c r="B379" s="296" t="s">
        <v>179</v>
      </c>
    </row>
    <row r="380" spans="1:2" ht="15">
      <c r="A380" s="270">
        <v>417</v>
      </c>
      <c r="B380" s="303" t="s">
        <v>177</v>
      </c>
    </row>
    <row r="381" spans="1:2" ht="15">
      <c r="A381" s="270">
        <v>418</v>
      </c>
      <c r="B381" s="304" t="s">
        <v>1389</v>
      </c>
    </row>
    <row r="382" spans="1:2" ht="15">
      <c r="A382" s="270">
        <v>419</v>
      </c>
      <c r="B382" s="305" t="s">
        <v>1390</v>
      </c>
    </row>
    <row r="383" spans="1:2" ht="22.5">
      <c r="A383" s="270">
        <v>420</v>
      </c>
      <c r="B383" s="254" t="s">
        <v>754</v>
      </c>
    </row>
    <row r="384" spans="1:2" ht="15">
      <c r="A384" s="270">
        <v>421</v>
      </c>
      <c r="B384" s="304" t="s">
        <v>1391</v>
      </c>
    </row>
    <row r="385" spans="1:2" ht="15">
      <c r="A385" s="270">
        <v>422</v>
      </c>
      <c r="B385" s="304" t="s">
        <v>1392</v>
      </c>
    </row>
    <row r="386" spans="1:2" ht="15">
      <c r="A386" s="270">
        <v>423</v>
      </c>
      <c r="B386" s="305" t="s">
        <v>450</v>
      </c>
    </row>
    <row r="387" spans="1:2" ht="22.5">
      <c r="A387" s="270">
        <v>424</v>
      </c>
      <c r="B387" s="254" t="s">
        <v>408</v>
      </c>
    </row>
    <row r="388" spans="1:2" ht="22.5">
      <c r="A388" s="270">
        <v>425</v>
      </c>
      <c r="B388" s="254" t="s">
        <v>1395</v>
      </c>
    </row>
    <row r="389" spans="1:2" ht="15">
      <c r="A389" s="270">
        <v>426</v>
      </c>
      <c r="B389" s="303" t="s">
        <v>1393</v>
      </c>
    </row>
    <row r="390" spans="1:2" ht="15">
      <c r="A390" s="270">
        <v>427</v>
      </c>
      <c r="B390" s="306" t="s">
        <v>1394</v>
      </c>
    </row>
    <row r="391" spans="1:2" ht="15">
      <c r="A391" s="270">
        <v>428</v>
      </c>
      <c r="B391" s="295" t="s">
        <v>626</v>
      </c>
    </row>
    <row r="392" spans="1:2" ht="15">
      <c r="A392" s="270">
        <v>429</v>
      </c>
      <c r="B392" s="258" t="s">
        <v>1401</v>
      </c>
    </row>
    <row r="393" spans="1:2" ht="22.5">
      <c r="A393" s="270">
        <v>431</v>
      </c>
      <c r="B393" s="254" t="s">
        <v>1028</v>
      </c>
    </row>
    <row r="394" spans="1:2" ht="15">
      <c r="A394" s="270">
        <v>432</v>
      </c>
      <c r="B394" s="307" t="s">
        <v>577</v>
      </c>
    </row>
    <row r="395" spans="1:2" ht="15">
      <c r="A395" s="270">
        <v>433</v>
      </c>
      <c r="B395" s="24" t="s">
        <v>1029</v>
      </c>
    </row>
    <row r="396" spans="1:2" ht="25.5">
      <c r="A396" s="270">
        <v>434</v>
      </c>
      <c r="B396" s="258" t="s">
        <v>736</v>
      </c>
    </row>
    <row r="397" spans="1:2" ht="22.5">
      <c r="A397" s="270">
        <v>435</v>
      </c>
      <c r="B397" s="254" t="s">
        <v>1425</v>
      </c>
    </row>
    <row r="398" spans="1:2" ht="15">
      <c r="A398" s="270">
        <v>436</v>
      </c>
      <c r="B398" s="254" t="s">
        <v>737</v>
      </c>
    </row>
    <row r="399" spans="1:2" ht="22.5">
      <c r="A399" s="270">
        <v>437</v>
      </c>
      <c r="B399" s="257" t="s">
        <v>1047</v>
      </c>
    </row>
    <row r="400" spans="1:2" ht="15">
      <c r="A400" s="270">
        <v>438</v>
      </c>
      <c r="B400" s="254" t="s">
        <v>1048</v>
      </c>
    </row>
    <row r="401" spans="1:2" ht="22.5">
      <c r="A401" s="270">
        <v>439</v>
      </c>
      <c r="B401" s="257" t="s">
        <v>631</v>
      </c>
    </row>
    <row r="402" spans="1:2" ht="21">
      <c r="A402" s="270">
        <v>440</v>
      </c>
      <c r="B402" s="255" t="s">
        <v>1426</v>
      </c>
    </row>
    <row r="403" spans="1:2" ht="15">
      <c r="A403" s="270">
        <v>441</v>
      </c>
      <c r="B403" s="254" t="s">
        <v>772</v>
      </c>
    </row>
    <row r="404" spans="1:2" ht="15">
      <c r="A404" s="270">
        <v>442</v>
      </c>
      <c r="B404" s="297" t="s">
        <v>770</v>
      </c>
    </row>
    <row r="405" spans="1:2" ht="15">
      <c r="A405" s="270">
        <v>443</v>
      </c>
      <c r="B405" s="297" t="s">
        <v>771</v>
      </c>
    </row>
    <row r="406" spans="1:2" ht="25.5">
      <c r="A406" s="270">
        <v>444</v>
      </c>
      <c r="B406" s="258" t="s">
        <v>410</v>
      </c>
    </row>
    <row r="407" spans="1:2" ht="15">
      <c r="A407" s="270">
        <v>445</v>
      </c>
      <c r="B407" s="254" t="s">
        <v>409</v>
      </c>
    </row>
    <row r="408" spans="1:2" ht="22.5">
      <c r="A408" s="270">
        <v>446</v>
      </c>
      <c r="B408" s="254" t="s">
        <v>451</v>
      </c>
    </row>
    <row r="409" spans="1:2" ht="15">
      <c r="A409" s="270">
        <v>452</v>
      </c>
      <c r="B409" s="295" t="s">
        <v>1396</v>
      </c>
    </row>
    <row r="410" spans="1:2" ht="25.5">
      <c r="A410" s="270">
        <v>453</v>
      </c>
      <c r="B410" s="258" t="s">
        <v>544</v>
      </c>
    </row>
    <row r="411" spans="1:2" ht="33.75">
      <c r="A411" s="270">
        <v>454</v>
      </c>
      <c r="B411" s="254" t="s">
        <v>272</v>
      </c>
    </row>
    <row r="412" spans="1:2" ht="15">
      <c r="A412" s="270">
        <v>455</v>
      </c>
      <c r="B412" s="254" t="s">
        <v>592</v>
      </c>
    </row>
    <row r="413" spans="1:2" ht="25.5">
      <c r="A413" s="270">
        <v>456</v>
      </c>
      <c r="B413" s="258" t="s">
        <v>1397</v>
      </c>
    </row>
    <row r="414" spans="1:2" ht="25.5">
      <c r="A414" s="270">
        <v>457</v>
      </c>
      <c r="B414" s="258" t="s">
        <v>719</v>
      </c>
    </row>
    <row r="415" spans="1:2" ht="15">
      <c r="A415" s="270">
        <v>458</v>
      </c>
      <c r="B415" s="254" t="s">
        <v>720</v>
      </c>
    </row>
    <row r="416" spans="1:2" ht="15">
      <c r="A416" s="270">
        <v>460</v>
      </c>
      <c r="B416" s="258" t="s">
        <v>1751</v>
      </c>
    </row>
    <row r="417" spans="1:2" ht="25.5">
      <c r="A417" s="270">
        <v>465</v>
      </c>
      <c r="B417" s="256" t="s">
        <v>593</v>
      </c>
    </row>
    <row r="418" spans="1:2" ht="15">
      <c r="A418" s="270">
        <v>467</v>
      </c>
      <c r="B418" s="281" t="s">
        <v>722</v>
      </c>
    </row>
    <row r="419" spans="1:2" ht="63.75">
      <c r="A419" s="270">
        <v>468</v>
      </c>
      <c r="B419" s="256" t="s">
        <v>462</v>
      </c>
    </row>
    <row r="420" spans="1:2" ht="15">
      <c r="A420" s="270">
        <v>469</v>
      </c>
      <c r="B420" s="308" t="s">
        <v>1704</v>
      </c>
    </row>
    <row r="421" spans="1:2" ht="15">
      <c r="A421" s="270">
        <v>470</v>
      </c>
      <c r="B421" s="281" t="s">
        <v>973</v>
      </c>
    </row>
    <row r="422" spans="1:2" ht="15">
      <c r="A422" s="270">
        <v>484</v>
      </c>
      <c r="B422" s="258" t="s">
        <v>1930</v>
      </c>
    </row>
    <row r="423" spans="1:2" ht="22.5">
      <c r="A423" s="270">
        <v>485</v>
      </c>
      <c r="B423" s="254" t="s">
        <v>1764</v>
      </c>
    </row>
    <row r="424" spans="1:2" ht="15">
      <c r="A424" s="270">
        <v>486</v>
      </c>
      <c r="B424" s="254" t="s">
        <v>1765</v>
      </c>
    </row>
    <row r="425" spans="1:2" ht="33.75">
      <c r="A425" s="270">
        <v>487</v>
      </c>
      <c r="B425" s="254" t="s">
        <v>1766</v>
      </c>
    </row>
    <row r="426" spans="1:2" ht="22.5">
      <c r="A426" s="270">
        <v>488</v>
      </c>
      <c r="B426" s="254" t="s">
        <v>1767</v>
      </c>
    </row>
    <row r="427" spans="1:2" ht="22.5">
      <c r="A427" s="270">
        <v>489</v>
      </c>
      <c r="B427" s="254" t="s">
        <v>1322</v>
      </c>
    </row>
    <row r="428" spans="1:2" ht="15">
      <c r="A428" s="270">
        <v>490</v>
      </c>
      <c r="B428" s="258" t="s">
        <v>1046</v>
      </c>
    </row>
    <row r="429" spans="1:2" ht="15">
      <c r="A429" s="270">
        <v>497</v>
      </c>
      <c r="B429" s="255" t="s">
        <v>1955</v>
      </c>
    </row>
    <row r="430" spans="1:2" ht="22.5">
      <c r="A430" s="270">
        <v>509</v>
      </c>
      <c r="B430" s="254" t="s">
        <v>165</v>
      </c>
    </row>
    <row r="431" spans="1:2" ht="22.5">
      <c r="A431" s="270">
        <v>511</v>
      </c>
      <c r="B431" s="254" t="s">
        <v>862</v>
      </c>
    </row>
    <row r="432" spans="1:2" ht="15">
      <c r="A432" s="270">
        <v>514</v>
      </c>
      <c r="B432" s="310" t="s">
        <v>1533</v>
      </c>
    </row>
    <row r="433" spans="1:2" ht="15">
      <c r="A433" s="270">
        <v>516</v>
      </c>
      <c r="B433" s="311" t="s">
        <v>1794</v>
      </c>
    </row>
    <row r="434" spans="1:2" ht="22.5">
      <c r="A434" s="270">
        <v>520</v>
      </c>
      <c r="B434" s="254" t="s">
        <v>1793</v>
      </c>
    </row>
    <row r="435" spans="1:2" ht="30">
      <c r="A435" s="270">
        <v>526</v>
      </c>
      <c r="B435" s="295" t="s">
        <v>170</v>
      </c>
    </row>
    <row r="436" spans="1:2" ht="22.5">
      <c r="A436" s="270">
        <v>530</v>
      </c>
      <c r="B436" s="254" t="s">
        <v>90</v>
      </c>
    </row>
    <row r="437" spans="1:2" ht="90">
      <c r="A437" s="270">
        <v>531</v>
      </c>
      <c r="B437" s="254" t="s">
        <v>790</v>
      </c>
    </row>
    <row r="438" spans="1:2" ht="15">
      <c r="A438" s="270">
        <v>534</v>
      </c>
      <c r="B438" s="258" t="s">
        <v>1749</v>
      </c>
    </row>
    <row r="439" spans="1:2" ht="22.5">
      <c r="A439" s="270">
        <v>535</v>
      </c>
      <c r="B439" s="254" t="s">
        <v>1758</v>
      </c>
    </row>
    <row r="440" spans="1:2" ht="15">
      <c r="A440" s="270">
        <v>537</v>
      </c>
      <c r="B440" s="312" t="s">
        <v>171</v>
      </c>
    </row>
    <row r="441" spans="1:2" ht="15">
      <c r="A441" s="270">
        <v>539</v>
      </c>
      <c r="B441" s="258" t="s">
        <v>1231</v>
      </c>
    </row>
    <row r="442" spans="1:2" ht="15.75">
      <c r="A442" s="270">
        <v>551</v>
      </c>
      <c r="B442" s="261" t="s">
        <v>1896</v>
      </c>
    </row>
    <row r="443" spans="1:2" ht="25.5">
      <c r="A443" s="270">
        <v>552</v>
      </c>
      <c r="B443" s="258" t="s">
        <v>1534</v>
      </c>
    </row>
    <row r="444" spans="1:2" ht="22.5">
      <c r="A444" s="270">
        <v>553</v>
      </c>
      <c r="B444" s="254" t="s">
        <v>1535</v>
      </c>
    </row>
    <row r="445" spans="1:2" ht="22.5">
      <c r="A445" s="270">
        <v>554</v>
      </c>
      <c r="B445" s="254" t="s">
        <v>1232</v>
      </c>
    </row>
    <row r="446" spans="1:2" ht="22.5">
      <c r="A446" s="270">
        <v>555</v>
      </c>
      <c r="B446" s="254" t="s">
        <v>1941</v>
      </c>
    </row>
    <row r="447" spans="1:2" ht="22.5">
      <c r="A447" s="270">
        <v>556</v>
      </c>
      <c r="B447" s="254" t="s">
        <v>1942</v>
      </c>
    </row>
    <row r="448" spans="1:2" ht="15">
      <c r="A448" s="270">
        <v>557</v>
      </c>
      <c r="B448" s="254" t="s">
        <v>844</v>
      </c>
    </row>
    <row r="449" spans="1:2" ht="15">
      <c r="A449" s="270">
        <v>558</v>
      </c>
      <c r="B449" s="255" t="s">
        <v>846</v>
      </c>
    </row>
    <row r="450" spans="1:2" ht="22.5">
      <c r="A450" s="270">
        <v>559</v>
      </c>
      <c r="B450" s="254" t="s">
        <v>1139</v>
      </c>
    </row>
    <row r="451" spans="1:2" ht="22.5">
      <c r="A451" s="270">
        <v>560</v>
      </c>
      <c r="B451" s="254" t="s">
        <v>845</v>
      </c>
    </row>
    <row r="452" spans="1:2" ht="15">
      <c r="A452" s="270">
        <v>561</v>
      </c>
      <c r="B452" s="254" t="s">
        <v>1140</v>
      </c>
    </row>
    <row r="453" spans="1:2" ht="15">
      <c r="A453" s="270">
        <v>562</v>
      </c>
      <c r="B453" s="254" t="s">
        <v>291</v>
      </c>
    </row>
    <row r="454" spans="1:2" ht="15">
      <c r="A454" s="270">
        <v>563</v>
      </c>
      <c r="B454" s="254" t="s">
        <v>1752</v>
      </c>
    </row>
    <row r="455" spans="1:2" ht="15">
      <c r="A455" s="270">
        <v>564</v>
      </c>
      <c r="B455" s="254" t="s">
        <v>1753</v>
      </c>
    </row>
    <row r="456" spans="1:2" ht="15">
      <c r="A456" s="270">
        <v>565</v>
      </c>
      <c r="B456" s="254" t="s">
        <v>1754</v>
      </c>
    </row>
    <row r="457" spans="1:2" ht="15">
      <c r="A457" s="270">
        <v>566</v>
      </c>
      <c r="B457" s="311" t="s">
        <v>1536</v>
      </c>
    </row>
    <row r="458" spans="1:2" ht="15">
      <c r="A458" s="270">
        <v>567</v>
      </c>
      <c r="B458" s="311" t="s">
        <v>1537</v>
      </c>
    </row>
    <row r="459" spans="1:2" ht="15">
      <c r="A459" s="270">
        <v>568</v>
      </c>
      <c r="B459" s="311" t="s">
        <v>1538</v>
      </c>
    </row>
    <row r="460" spans="1:2" ht="15">
      <c r="A460" s="270">
        <v>569</v>
      </c>
      <c r="B460" s="311" t="s">
        <v>738</v>
      </c>
    </row>
    <row r="461" spans="1:2" ht="25.5">
      <c r="A461" s="270">
        <v>570</v>
      </c>
      <c r="B461" s="258" t="s">
        <v>598</v>
      </c>
    </row>
    <row r="462" spans="1:2" ht="22.5">
      <c r="A462" s="270">
        <v>572</v>
      </c>
      <c r="B462" s="254" t="s">
        <v>82</v>
      </c>
    </row>
    <row r="463" spans="1:2" ht="22.5">
      <c r="A463" s="270">
        <v>573</v>
      </c>
      <c r="B463" s="254" t="s">
        <v>83</v>
      </c>
    </row>
    <row r="464" spans="1:2" ht="15">
      <c r="A464" s="270">
        <v>574</v>
      </c>
      <c r="B464" s="311" t="s">
        <v>597</v>
      </c>
    </row>
    <row r="465" spans="1:2" ht="15">
      <c r="A465" s="270">
        <v>575</v>
      </c>
      <c r="B465" s="311" t="s">
        <v>596</v>
      </c>
    </row>
    <row r="466" spans="1:2" ht="15">
      <c r="A466" s="270">
        <v>576</v>
      </c>
      <c r="B466" s="314" t="s">
        <v>740</v>
      </c>
    </row>
    <row r="467" spans="1:2" ht="15">
      <c r="A467" s="270">
        <v>577</v>
      </c>
      <c r="B467" s="311" t="s">
        <v>739</v>
      </c>
    </row>
    <row r="468" spans="1:2" ht="15.75" thickBot="1">
      <c r="A468" s="270">
        <v>635</v>
      </c>
      <c r="B468" s="316" t="s">
        <v>763</v>
      </c>
    </row>
    <row r="469" spans="1:2" ht="15.75" thickBot="1">
      <c r="A469" s="270">
        <v>656</v>
      </c>
      <c r="B469" s="292" t="s">
        <v>263</v>
      </c>
    </row>
    <row r="470" spans="1:2" ht="26.25" thickBot="1">
      <c r="A470" s="270">
        <v>722</v>
      </c>
      <c r="B470" s="290" t="s">
        <v>892</v>
      </c>
    </row>
    <row r="471" spans="1:2" ht="15.75" thickBot="1">
      <c r="A471" s="270">
        <v>723</v>
      </c>
      <c r="B471" s="291" t="s">
        <v>909</v>
      </c>
    </row>
    <row r="472" spans="1:2" ht="15">
      <c r="A472" s="270">
        <v>724</v>
      </c>
      <c r="B472" s="292" t="s">
        <v>910</v>
      </c>
    </row>
    <row r="473" spans="1:2" ht="15">
      <c r="A473" s="270">
        <v>726</v>
      </c>
      <c r="B473" s="293" t="s">
        <v>911</v>
      </c>
    </row>
    <row r="474" spans="1:2" ht="15">
      <c r="A474" s="270">
        <v>727</v>
      </c>
      <c r="B474" s="294" t="s">
        <v>912</v>
      </c>
    </row>
    <row r="475" spans="1:2" ht="18">
      <c r="A475" s="270">
        <v>728</v>
      </c>
      <c r="B475" s="283" t="s">
        <v>1256</v>
      </c>
    </row>
    <row r="476" spans="1:2" ht="31.5">
      <c r="A476" s="270">
        <v>729</v>
      </c>
      <c r="B476" s="261" t="s">
        <v>216</v>
      </c>
    </row>
    <row r="477" spans="1:2" ht="15">
      <c r="A477" s="270">
        <v>734</v>
      </c>
      <c r="B477" s="262" t="s">
        <v>222</v>
      </c>
    </row>
    <row r="478" spans="1:2" ht="15">
      <c r="A478" s="270">
        <v>735</v>
      </c>
      <c r="B478" s="263" t="s">
        <v>219</v>
      </c>
    </row>
    <row r="479" spans="1:2" ht="15">
      <c r="A479" s="270">
        <v>736</v>
      </c>
      <c r="B479" s="264" t="s">
        <v>217</v>
      </c>
    </row>
    <row r="480" spans="1:2" ht="15">
      <c r="A480" s="270">
        <v>737</v>
      </c>
      <c r="B480" s="265" t="s">
        <v>218</v>
      </c>
    </row>
    <row r="481" spans="1:2" ht="15">
      <c r="A481" s="270">
        <v>738</v>
      </c>
      <c r="B481" s="317" t="s">
        <v>220</v>
      </c>
    </row>
    <row r="482" spans="1:2" ht="15">
      <c r="A482" s="270">
        <v>739</v>
      </c>
      <c r="B482" s="317" t="s">
        <v>223</v>
      </c>
    </row>
    <row r="483" spans="1:2" ht="30">
      <c r="A483" s="270">
        <v>742</v>
      </c>
      <c r="B483" s="295" t="s">
        <v>104</v>
      </c>
    </row>
    <row r="484" spans="1:2" ht="15.75">
      <c r="A484" s="270">
        <v>746</v>
      </c>
      <c r="B484" s="261" t="s">
        <v>863</v>
      </c>
    </row>
    <row r="485" spans="1:2" ht="15">
      <c r="A485" s="270">
        <v>749</v>
      </c>
      <c r="B485" s="295" t="s">
        <v>887</v>
      </c>
    </row>
    <row r="486" spans="1:2" ht="21">
      <c r="A486" s="270">
        <v>750</v>
      </c>
      <c r="B486" s="255" t="s">
        <v>990</v>
      </c>
    </row>
    <row r="487" spans="1:2" ht="15">
      <c r="A487" s="270">
        <v>751</v>
      </c>
      <c r="B487" s="258" t="s">
        <v>701</v>
      </c>
    </row>
    <row r="488" spans="1:2" ht="22.5">
      <c r="A488" s="270">
        <v>752</v>
      </c>
      <c r="B488" s="254" t="s">
        <v>1249</v>
      </c>
    </row>
    <row r="489" spans="1:2" ht="22.5">
      <c r="A489" s="270">
        <v>753</v>
      </c>
      <c r="B489" s="254" t="s">
        <v>1648</v>
      </c>
    </row>
    <row r="490" spans="1:2" ht="15">
      <c r="A490" s="270">
        <v>754</v>
      </c>
      <c r="B490" s="258" t="s">
        <v>886</v>
      </c>
    </row>
    <row r="491" spans="1:2" ht="22.5">
      <c r="A491" s="270">
        <v>755</v>
      </c>
      <c r="B491" s="254" t="s">
        <v>888</v>
      </c>
    </row>
    <row r="492" spans="1:2" ht="15">
      <c r="A492" s="270">
        <v>757</v>
      </c>
      <c r="B492" s="255" t="s">
        <v>1088</v>
      </c>
    </row>
    <row r="493" spans="1:2" ht="22.5">
      <c r="A493" s="270">
        <v>758</v>
      </c>
      <c r="B493" s="254" t="s">
        <v>1089</v>
      </c>
    </row>
    <row r="494" spans="1:2" ht="22.5">
      <c r="A494" s="270">
        <v>759</v>
      </c>
      <c r="B494" s="254" t="s">
        <v>1103</v>
      </c>
    </row>
    <row r="495" spans="1:2" ht="21">
      <c r="A495" s="270">
        <v>762</v>
      </c>
      <c r="B495" s="255" t="s">
        <v>889</v>
      </c>
    </row>
    <row r="496" spans="1:2" ht="15">
      <c r="A496" s="270">
        <v>763</v>
      </c>
      <c r="B496" s="263" t="s">
        <v>1251</v>
      </c>
    </row>
    <row r="497" spans="1:2" ht="15">
      <c r="A497" s="270">
        <v>764</v>
      </c>
      <c r="B497" s="264" t="s">
        <v>1742</v>
      </c>
    </row>
    <row r="498" spans="1:2" ht="15.75" thickBot="1">
      <c r="A498" s="270">
        <v>765</v>
      </c>
      <c r="B498" s="319" t="s">
        <v>246</v>
      </c>
    </row>
    <row r="499" spans="1:2" ht="15">
      <c r="A499" s="270">
        <v>766</v>
      </c>
      <c r="B499" s="320" t="s">
        <v>1102</v>
      </c>
    </row>
    <row r="500" spans="1:2" ht="15">
      <c r="A500" s="270">
        <v>767</v>
      </c>
      <c r="B500" s="17" t="s">
        <v>1760</v>
      </c>
    </row>
    <row r="501" spans="1:2" ht="15.75">
      <c r="A501" s="270">
        <v>777</v>
      </c>
      <c r="B501" s="261" t="s">
        <v>1705</v>
      </c>
    </row>
    <row r="502" spans="1:2" ht="22.5">
      <c r="A502" s="270">
        <v>778</v>
      </c>
      <c r="B502" s="254" t="s">
        <v>1710</v>
      </c>
    </row>
    <row r="503" spans="1:2" ht="22.5">
      <c r="A503" s="270">
        <v>779</v>
      </c>
      <c r="B503" s="254" t="s">
        <v>1711</v>
      </c>
    </row>
    <row r="504" spans="1:2" ht="22.5">
      <c r="A504" s="270">
        <v>780</v>
      </c>
      <c r="B504" s="254" t="s">
        <v>1304</v>
      </c>
    </row>
    <row r="505" spans="1:2" ht="15">
      <c r="A505" s="270">
        <v>781</v>
      </c>
      <c r="B505" s="254" t="s">
        <v>1712</v>
      </c>
    </row>
    <row r="506" spans="1:2" ht="22.5">
      <c r="A506" s="270">
        <v>782</v>
      </c>
      <c r="B506" s="254" t="s">
        <v>1949</v>
      </c>
    </row>
    <row r="507" spans="1:2" ht="22.5">
      <c r="A507" s="270">
        <v>783</v>
      </c>
      <c r="B507" s="254" t="s">
        <v>591</v>
      </c>
    </row>
    <row r="508" spans="1:2" ht="15">
      <c r="A508" s="270">
        <v>784</v>
      </c>
      <c r="B508" s="254" t="s">
        <v>1716</v>
      </c>
    </row>
    <row r="509" spans="1:2" ht="33.75">
      <c r="A509" s="270">
        <v>785</v>
      </c>
      <c r="B509" s="254" t="s">
        <v>1950</v>
      </c>
    </row>
    <row r="510" spans="1:2" ht="15">
      <c r="A510" s="270">
        <v>786</v>
      </c>
      <c r="B510" s="254" t="s">
        <v>1715</v>
      </c>
    </row>
    <row r="511" spans="1:2" ht="30">
      <c r="A511" s="270">
        <v>787</v>
      </c>
      <c r="B511" s="295" t="s">
        <v>1717</v>
      </c>
    </row>
    <row r="512" spans="1:2" ht="15">
      <c r="A512" s="270">
        <v>788</v>
      </c>
      <c r="B512" s="258" t="s">
        <v>1090</v>
      </c>
    </row>
    <row r="513" spans="1:2" ht="22.5">
      <c r="A513" s="270">
        <v>789</v>
      </c>
      <c r="B513" s="254" t="s">
        <v>1501</v>
      </c>
    </row>
    <row r="514" spans="1:2" ht="22.5">
      <c r="A514" s="270">
        <v>790</v>
      </c>
      <c r="B514" s="254" t="s">
        <v>1207</v>
      </c>
    </row>
    <row r="515" spans="1:2" ht="22.5">
      <c r="A515" s="270">
        <v>791</v>
      </c>
      <c r="B515" s="254" t="s">
        <v>1289</v>
      </c>
    </row>
    <row r="516" spans="1:2" ht="15">
      <c r="A516" s="270">
        <v>792</v>
      </c>
      <c r="B516" s="258" t="s">
        <v>1091</v>
      </c>
    </row>
    <row r="517" spans="1:2" ht="15">
      <c r="A517" s="270">
        <v>793</v>
      </c>
      <c r="B517" s="258" t="s">
        <v>1713</v>
      </c>
    </row>
    <row r="518" spans="1:2" ht="22.5">
      <c r="A518" s="270">
        <v>794</v>
      </c>
      <c r="B518" s="254" t="s">
        <v>1141</v>
      </c>
    </row>
    <row r="519" spans="1:2" ht="22.5">
      <c r="A519" s="270">
        <v>795</v>
      </c>
      <c r="B519" s="286" t="s">
        <v>1595</v>
      </c>
    </row>
    <row r="520" spans="1:2" ht="25.5">
      <c r="A520" s="270">
        <v>796</v>
      </c>
      <c r="B520" s="258" t="s">
        <v>1196</v>
      </c>
    </row>
    <row r="521" spans="1:2" ht="15">
      <c r="A521" s="270">
        <v>797</v>
      </c>
      <c r="B521" s="254" t="s">
        <v>1828</v>
      </c>
    </row>
    <row r="522" spans="1:2" ht="15">
      <c r="A522" s="270">
        <v>798</v>
      </c>
      <c r="B522" s="309" t="s">
        <v>1305</v>
      </c>
    </row>
    <row r="523" spans="1:2" ht="15">
      <c r="A523" s="270">
        <v>799</v>
      </c>
      <c r="B523" s="258" t="s">
        <v>1290</v>
      </c>
    </row>
    <row r="524" spans="1:2" ht="22.5">
      <c r="A524" s="270">
        <v>800</v>
      </c>
      <c r="B524" s="254" t="s">
        <v>1292</v>
      </c>
    </row>
    <row r="525" spans="1:2" ht="15">
      <c r="A525" s="270">
        <v>801</v>
      </c>
      <c r="B525" s="254" t="s">
        <v>1695</v>
      </c>
    </row>
    <row r="526" spans="1:2" ht="15">
      <c r="A526" s="270">
        <v>802</v>
      </c>
      <c r="B526" s="262" t="s">
        <v>1291</v>
      </c>
    </row>
    <row r="527" spans="1:2" ht="15">
      <c r="A527" s="270">
        <v>803</v>
      </c>
      <c r="B527" s="309" t="s">
        <v>1951</v>
      </c>
    </row>
    <row r="528" spans="1:2" ht="25.5">
      <c r="A528" s="270">
        <v>804</v>
      </c>
      <c r="B528" s="258" t="s">
        <v>1197</v>
      </c>
    </row>
    <row r="529" spans="1:2" ht="22.5">
      <c r="A529" s="270">
        <v>805</v>
      </c>
      <c r="B529" s="254" t="s">
        <v>1696</v>
      </c>
    </row>
    <row r="530" spans="1:2" ht="22.5">
      <c r="A530" s="270">
        <v>806</v>
      </c>
      <c r="B530" s="254" t="s">
        <v>319</v>
      </c>
    </row>
    <row r="531" spans="1:2" ht="15">
      <c r="A531" s="270">
        <v>807</v>
      </c>
      <c r="B531" s="312" t="s">
        <v>1952</v>
      </c>
    </row>
    <row r="532" spans="1:2" ht="15">
      <c r="A532" s="270">
        <v>808</v>
      </c>
      <c r="B532" s="258" t="s">
        <v>1714</v>
      </c>
    </row>
    <row r="533" spans="1:2" ht="22.5">
      <c r="A533" s="270">
        <v>809</v>
      </c>
      <c r="B533" s="254" t="s">
        <v>1599</v>
      </c>
    </row>
    <row r="534" spans="1:2" ht="15">
      <c r="A534" s="270">
        <v>810</v>
      </c>
      <c r="B534" s="309" t="s">
        <v>1598</v>
      </c>
    </row>
    <row r="535" spans="1:2" ht="15">
      <c r="A535" s="270">
        <v>811</v>
      </c>
      <c r="B535" s="258" t="s">
        <v>1603</v>
      </c>
    </row>
    <row r="536" spans="1:2" ht="15">
      <c r="A536" s="270">
        <v>812</v>
      </c>
      <c r="B536" s="321" t="s">
        <v>1604</v>
      </c>
    </row>
    <row r="537" spans="1:2" ht="15">
      <c r="A537" s="270">
        <v>813</v>
      </c>
      <c r="B537" s="322" t="s">
        <v>1605</v>
      </c>
    </row>
    <row r="538" spans="1:2" ht="15">
      <c r="A538" s="270">
        <v>814</v>
      </c>
      <c r="B538" s="322" t="s">
        <v>1606</v>
      </c>
    </row>
    <row r="539" spans="1:2" ht="15">
      <c r="A539" s="270">
        <v>815</v>
      </c>
      <c r="B539" s="323" t="s">
        <v>1607</v>
      </c>
    </row>
    <row r="540" spans="1:2" ht="25.5">
      <c r="A540" s="270">
        <v>816</v>
      </c>
      <c r="B540" s="258" t="s">
        <v>1608</v>
      </c>
    </row>
    <row r="541" spans="1:2" ht="22.5">
      <c r="A541" s="270">
        <v>817</v>
      </c>
      <c r="B541" s="254" t="s">
        <v>1513</v>
      </c>
    </row>
    <row r="542" spans="1:2" ht="15">
      <c r="A542" s="270">
        <v>818</v>
      </c>
      <c r="B542" s="312" t="s">
        <v>1953</v>
      </c>
    </row>
    <row r="543" spans="1:2" ht="25.5">
      <c r="A543" s="270">
        <v>819</v>
      </c>
      <c r="B543" s="258" t="s">
        <v>1609</v>
      </c>
    </row>
    <row r="544" spans="1:2" ht="22.5">
      <c r="A544" s="270">
        <v>820</v>
      </c>
      <c r="B544" s="254" t="s">
        <v>1514</v>
      </c>
    </row>
    <row r="545" spans="1:2" ht="22.5">
      <c r="A545" s="270">
        <v>821</v>
      </c>
      <c r="B545" s="254" t="s">
        <v>1198</v>
      </c>
    </row>
    <row r="546" spans="1:2" ht="15">
      <c r="A546" s="270">
        <v>822</v>
      </c>
      <c r="B546" s="254" t="s">
        <v>1943</v>
      </c>
    </row>
    <row r="547" spans="1:2" ht="15.75" thickBot="1">
      <c r="A547" s="270">
        <v>823</v>
      </c>
      <c r="B547" s="309" t="s">
        <v>1610</v>
      </c>
    </row>
    <row r="548" spans="1:2" ht="26.25" thickBot="1">
      <c r="A548" s="270">
        <v>824</v>
      </c>
      <c r="B548" s="290" t="s">
        <v>895</v>
      </c>
    </row>
    <row r="549" spans="1:2" ht="15">
      <c r="A549" s="270">
        <v>825</v>
      </c>
      <c r="B549" s="291" t="s">
        <v>913</v>
      </c>
    </row>
    <row r="550" spans="1:2" ht="15">
      <c r="A550" s="270">
        <v>829</v>
      </c>
      <c r="B550" s="293" t="s">
        <v>914</v>
      </c>
    </row>
    <row r="551" spans="1:2" ht="15">
      <c r="A551" s="270">
        <v>831</v>
      </c>
      <c r="B551" s="294" t="s">
        <v>821</v>
      </c>
    </row>
    <row r="552" spans="1:2" ht="36">
      <c r="A552" s="270">
        <v>832</v>
      </c>
      <c r="B552" s="283" t="s">
        <v>1257</v>
      </c>
    </row>
    <row r="553" spans="1:2" ht="15.75">
      <c r="A553" s="270">
        <v>833</v>
      </c>
      <c r="B553" s="261" t="s">
        <v>696</v>
      </c>
    </row>
    <row r="554" spans="1:2" ht="15">
      <c r="A554" s="270">
        <v>834</v>
      </c>
      <c r="B554" s="295" t="s">
        <v>697</v>
      </c>
    </row>
    <row r="555" spans="1:2" ht="25.5">
      <c r="A555" s="270">
        <v>835</v>
      </c>
      <c r="B555" s="258" t="s">
        <v>406</v>
      </c>
    </row>
    <row r="556" spans="1:2" ht="22.5">
      <c r="A556" s="270">
        <v>836</v>
      </c>
      <c r="B556" s="254" t="s">
        <v>475</v>
      </c>
    </row>
    <row r="557" spans="1:2" ht="15">
      <c r="A557" s="270">
        <v>837</v>
      </c>
      <c r="B557" s="324" t="s">
        <v>1650</v>
      </c>
    </row>
    <row r="558" spans="1:2" ht="22.5">
      <c r="A558" s="270">
        <v>838</v>
      </c>
      <c r="B558" s="254" t="s">
        <v>1837</v>
      </c>
    </row>
    <row r="559" spans="1:2" ht="22.5">
      <c r="A559" s="270">
        <v>839</v>
      </c>
      <c r="B559" s="254" t="s">
        <v>1761</v>
      </c>
    </row>
    <row r="560" spans="1:2" ht="22.5">
      <c r="A560" s="270">
        <v>840</v>
      </c>
      <c r="B560" s="254" t="s">
        <v>1762</v>
      </c>
    </row>
    <row r="561" spans="1:2" ht="22.5">
      <c r="A561" s="270">
        <v>841</v>
      </c>
      <c r="B561" s="254" t="s">
        <v>1763</v>
      </c>
    </row>
    <row r="562" spans="1:2" ht="15">
      <c r="A562" s="270">
        <v>842</v>
      </c>
      <c r="B562" s="325" t="s">
        <v>1652</v>
      </c>
    </row>
    <row r="563" spans="1:2" ht="15">
      <c r="A563" s="270">
        <v>843</v>
      </c>
      <c r="B563" s="326" t="s">
        <v>641</v>
      </c>
    </row>
    <row r="564" spans="1:2" ht="15">
      <c r="A564" s="270">
        <v>844</v>
      </c>
      <c r="B564" s="327" t="s">
        <v>1893</v>
      </c>
    </row>
    <row r="565" spans="1:2" ht="15.75" thickBot="1">
      <c r="A565" s="270">
        <v>845</v>
      </c>
      <c r="B565" s="328" t="s">
        <v>926</v>
      </c>
    </row>
    <row r="566" spans="1:2" ht="15">
      <c r="A566" s="270">
        <v>846</v>
      </c>
      <c r="B566" s="329" t="s">
        <v>785</v>
      </c>
    </row>
    <row r="567" spans="1:2" ht="21">
      <c r="A567" s="270">
        <v>862</v>
      </c>
      <c r="B567" s="332" t="s">
        <v>241</v>
      </c>
    </row>
    <row r="568" spans="1:2" ht="15">
      <c r="A568" s="270">
        <v>866</v>
      </c>
      <c r="B568" s="258" t="s">
        <v>255</v>
      </c>
    </row>
    <row r="569" spans="1:2" ht="15">
      <c r="A569" s="270">
        <v>868</v>
      </c>
      <c r="B569" s="258" t="s">
        <v>256</v>
      </c>
    </row>
    <row r="570" spans="1:2" ht="21.75" thickBot="1">
      <c r="A570" s="270">
        <v>871</v>
      </c>
      <c r="B570" s="332" t="s">
        <v>1242</v>
      </c>
    </row>
    <row r="571" spans="1:2" ht="15">
      <c r="A571" s="270">
        <v>872</v>
      </c>
      <c r="B571" s="333" t="s">
        <v>254</v>
      </c>
    </row>
    <row r="572" spans="1:2" ht="15">
      <c r="A572" s="270">
        <v>876</v>
      </c>
      <c r="B572" s="332" t="s">
        <v>795</v>
      </c>
    </row>
    <row r="573" spans="1:2" ht="56.25">
      <c r="A573" s="270">
        <v>877</v>
      </c>
      <c r="B573" s="315" t="s">
        <v>378</v>
      </c>
    </row>
    <row r="574" spans="1:2" ht="15">
      <c r="A574" s="270">
        <v>878</v>
      </c>
      <c r="B574" s="331" t="s">
        <v>379</v>
      </c>
    </row>
    <row r="575" spans="1:2" ht="33.75">
      <c r="A575" s="270">
        <v>879</v>
      </c>
      <c r="B575" s="254" t="s">
        <v>759</v>
      </c>
    </row>
    <row r="576" spans="1:2" ht="15">
      <c r="A576" s="270">
        <v>880</v>
      </c>
      <c r="B576" s="17" t="s">
        <v>240</v>
      </c>
    </row>
    <row r="577" spans="1:2" ht="15">
      <c r="A577" s="270">
        <v>881</v>
      </c>
      <c r="B577" s="332" t="s">
        <v>225</v>
      </c>
    </row>
    <row r="578" spans="1:2" ht="15">
      <c r="A578" s="270">
        <v>882</v>
      </c>
      <c r="B578" s="331" t="s">
        <v>224</v>
      </c>
    </row>
    <row r="579" spans="1:2" ht="22.5">
      <c r="A579" s="270">
        <v>883</v>
      </c>
      <c r="B579" s="254" t="s">
        <v>760</v>
      </c>
    </row>
    <row r="580" spans="1:2" ht="33.75">
      <c r="A580" s="270">
        <v>884</v>
      </c>
      <c r="B580" s="254" t="s">
        <v>1676</v>
      </c>
    </row>
    <row r="581" spans="1:2" ht="56.25">
      <c r="A581" s="270">
        <v>885</v>
      </c>
      <c r="B581" s="254" t="s">
        <v>1233</v>
      </c>
    </row>
    <row r="582" spans="1:2" ht="45">
      <c r="A582" s="270">
        <v>886</v>
      </c>
      <c r="B582" s="254" t="s">
        <v>231</v>
      </c>
    </row>
    <row r="583" spans="1:2" ht="22.5">
      <c r="A583" s="270">
        <v>887</v>
      </c>
      <c r="B583" s="254" t="s">
        <v>1234</v>
      </c>
    </row>
    <row r="584" spans="1:2" ht="15">
      <c r="A584" s="270">
        <v>888</v>
      </c>
      <c r="B584" s="17" t="s">
        <v>531</v>
      </c>
    </row>
    <row r="585" spans="1:2" ht="15">
      <c r="A585" s="270">
        <v>889</v>
      </c>
      <c r="B585" s="330" t="s">
        <v>527</v>
      </c>
    </row>
    <row r="586" spans="1:2" ht="15">
      <c r="A586" s="270">
        <v>890</v>
      </c>
      <c r="B586" s="324" t="s">
        <v>1653</v>
      </c>
    </row>
    <row r="587" spans="1:2" ht="22.5">
      <c r="A587" s="270">
        <v>891</v>
      </c>
      <c r="B587" s="331" t="s">
        <v>236</v>
      </c>
    </row>
    <row r="588" spans="1:2" ht="15">
      <c r="A588" s="270">
        <v>892</v>
      </c>
      <c r="B588" s="334" t="s">
        <v>1654</v>
      </c>
    </row>
    <row r="589" spans="1:2" ht="15">
      <c r="A589" s="270">
        <v>893</v>
      </c>
      <c r="B589" s="324" t="s">
        <v>1656</v>
      </c>
    </row>
    <row r="590" spans="1:2" ht="22.5">
      <c r="A590" s="270">
        <v>894</v>
      </c>
      <c r="B590" s="331" t="s">
        <v>1235</v>
      </c>
    </row>
    <row r="591" spans="1:2" ht="15">
      <c r="A591" s="270">
        <v>895</v>
      </c>
      <c r="B591" s="325" t="s">
        <v>1657</v>
      </c>
    </row>
    <row r="592" spans="1:2" ht="15">
      <c r="A592" s="270">
        <v>896</v>
      </c>
      <c r="B592" s="334" t="s">
        <v>1748</v>
      </c>
    </row>
    <row r="593" spans="1:2" ht="25.5">
      <c r="A593" s="270">
        <v>897</v>
      </c>
      <c r="B593" s="324" t="s">
        <v>1403</v>
      </c>
    </row>
    <row r="594" spans="1:2" ht="22.5">
      <c r="A594" s="270">
        <v>898</v>
      </c>
      <c r="B594" s="331" t="s">
        <v>1236</v>
      </c>
    </row>
    <row r="595" spans="1:2" ht="22.5">
      <c r="A595" s="270">
        <v>899</v>
      </c>
      <c r="B595" s="331" t="s">
        <v>237</v>
      </c>
    </row>
    <row r="596" spans="1:2" ht="15">
      <c r="A596" s="270">
        <v>900</v>
      </c>
      <c r="B596" s="325" t="s">
        <v>1659</v>
      </c>
    </row>
    <row r="597" spans="1:2" ht="15">
      <c r="A597" s="270">
        <v>901</v>
      </c>
      <c r="B597" s="334" t="s">
        <v>1658</v>
      </c>
    </row>
    <row r="598" spans="1:2" ht="15">
      <c r="A598" s="270">
        <v>902</v>
      </c>
      <c r="B598" s="324" t="s">
        <v>528</v>
      </c>
    </row>
    <row r="599" spans="1:2" ht="15">
      <c r="A599" s="270">
        <v>903</v>
      </c>
      <c r="B599" s="331" t="s">
        <v>238</v>
      </c>
    </row>
    <row r="600" spans="1:2" ht="15">
      <c r="A600" s="270">
        <v>904</v>
      </c>
      <c r="B600" s="331" t="s">
        <v>239</v>
      </c>
    </row>
    <row r="601" spans="1:2" ht="15">
      <c r="A601" s="270">
        <v>905</v>
      </c>
      <c r="B601" s="334" t="s">
        <v>794</v>
      </c>
    </row>
    <row r="602" spans="1:2" ht="15">
      <c r="A602" s="270">
        <v>906</v>
      </c>
      <c r="B602" s="330" t="s">
        <v>529</v>
      </c>
    </row>
    <row r="603" spans="1:2" ht="22.5">
      <c r="A603" s="270">
        <v>907</v>
      </c>
      <c r="B603" s="331" t="s">
        <v>1237</v>
      </c>
    </row>
    <row r="604" spans="1:2" ht="15">
      <c r="A604" s="270">
        <v>908</v>
      </c>
      <c r="B604" s="331" t="s">
        <v>242</v>
      </c>
    </row>
    <row r="605" spans="1:2" ht="22.5">
      <c r="A605" s="270">
        <v>909</v>
      </c>
      <c r="B605" s="331" t="s">
        <v>1694</v>
      </c>
    </row>
    <row r="606" spans="1:2" ht="25.5">
      <c r="A606" s="270">
        <v>910</v>
      </c>
      <c r="B606" s="324" t="s">
        <v>796</v>
      </c>
    </row>
    <row r="607" spans="1:2" ht="22.5">
      <c r="A607" s="270">
        <v>911</v>
      </c>
      <c r="B607" s="254" t="s">
        <v>547</v>
      </c>
    </row>
    <row r="608" spans="1:2" ht="45">
      <c r="A608" s="270">
        <v>912</v>
      </c>
      <c r="B608" s="254" t="s">
        <v>789</v>
      </c>
    </row>
    <row r="609" spans="1:2" ht="15">
      <c r="A609" s="270">
        <v>913</v>
      </c>
      <c r="B609" s="334" t="s">
        <v>1655</v>
      </c>
    </row>
    <row r="610" spans="1:2" ht="15">
      <c r="A610" s="270">
        <v>914</v>
      </c>
      <c r="B610" s="334" t="s">
        <v>1238</v>
      </c>
    </row>
    <row r="611" spans="1:2" ht="15">
      <c r="A611" s="270">
        <v>915</v>
      </c>
      <c r="B611" s="334" t="s">
        <v>1239</v>
      </c>
    </row>
    <row r="612" spans="1:2" ht="25.5">
      <c r="A612" s="270">
        <v>916</v>
      </c>
      <c r="B612" s="324" t="s">
        <v>546</v>
      </c>
    </row>
    <row r="613" spans="1:2" ht="33.75">
      <c r="A613" s="270">
        <v>917</v>
      </c>
      <c r="B613" s="254" t="s">
        <v>1519</v>
      </c>
    </row>
    <row r="614" spans="1:2" ht="15">
      <c r="A614" s="270">
        <v>918</v>
      </c>
      <c r="B614" s="331" t="s">
        <v>1520</v>
      </c>
    </row>
    <row r="615" spans="1:2" ht="15">
      <c r="A615" s="270">
        <v>919</v>
      </c>
      <c r="B615" s="265" t="s">
        <v>1836</v>
      </c>
    </row>
    <row r="616" spans="1:2" ht="15">
      <c r="A616" s="270">
        <v>920</v>
      </c>
      <c r="B616" s="325" t="s">
        <v>329</v>
      </c>
    </row>
    <row r="617" spans="1:2" ht="15">
      <c r="A617" s="270">
        <v>921</v>
      </c>
      <c r="B617" s="324" t="s">
        <v>619</v>
      </c>
    </row>
    <row r="618" spans="1:2" ht="21">
      <c r="A618" s="270">
        <v>922</v>
      </c>
      <c r="B618" s="332" t="s">
        <v>765</v>
      </c>
    </row>
    <row r="619" spans="1:2" ht="21">
      <c r="A619" s="270">
        <v>923</v>
      </c>
      <c r="B619" s="332" t="s">
        <v>1240</v>
      </c>
    </row>
    <row r="620" spans="1:2" ht="25.5">
      <c r="A620" s="270">
        <v>924</v>
      </c>
      <c r="B620" s="325" t="s">
        <v>235</v>
      </c>
    </row>
    <row r="621" spans="1:2" ht="15">
      <c r="A621" s="270">
        <v>925</v>
      </c>
      <c r="B621" s="334" t="s">
        <v>548</v>
      </c>
    </row>
    <row r="622" spans="1:2" ht="25.5">
      <c r="A622" s="270">
        <v>926</v>
      </c>
      <c r="B622" s="325" t="s">
        <v>234</v>
      </c>
    </row>
    <row r="623" spans="1:2" ht="15">
      <c r="A623" s="270">
        <v>927</v>
      </c>
      <c r="B623" s="334" t="s">
        <v>764</v>
      </c>
    </row>
    <row r="624" spans="1:2" ht="15">
      <c r="A624" s="270">
        <v>928</v>
      </c>
      <c r="B624" s="335" t="s">
        <v>1402</v>
      </c>
    </row>
    <row r="625" spans="1:2" ht="15">
      <c r="A625" s="270">
        <v>929</v>
      </c>
      <c r="B625" s="331" t="s">
        <v>1190</v>
      </c>
    </row>
    <row r="626" spans="1:2" ht="15">
      <c r="A626" s="270">
        <v>930</v>
      </c>
      <c r="B626" s="334" t="s">
        <v>1662</v>
      </c>
    </row>
    <row r="627" spans="1:2" ht="15">
      <c r="A627" s="270">
        <v>931</v>
      </c>
      <c r="B627" s="330" t="s">
        <v>766</v>
      </c>
    </row>
    <row r="628" spans="1:2" ht="25.5">
      <c r="A628" s="270">
        <v>932</v>
      </c>
      <c r="B628" s="324" t="s">
        <v>549</v>
      </c>
    </row>
    <row r="629" spans="1:2" ht="15">
      <c r="A629" s="270">
        <v>933</v>
      </c>
      <c r="B629" s="336" t="s">
        <v>1404</v>
      </c>
    </row>
    <row r="630" spans="1:2" ht="22.5">
      <c r="A630" s="270">
        <v>934</v>
      </c>
      <c r="B630" s="331" t="s">
        <v>1241</v>
      </c>
    </row>
    <row r="631" spans="1:2" ht="22.5">
      <c r="A631" s="270">
        <v>935</v>
      </c>
      <c r="B631" s="337" t="s">
        <v>380</v>
      </c>
    </row>
    <row r="632" spans="1:2" ht="15">
      <c r="A632" s="270">
        <v>936</v>
      </c>
      <c r="B632" s="338" t="s">
        <v>232</v>
      </c>
    </row>
    <row r="633" spans="1:2" ht="15">
      <c r="A633" s="270">
        <v>937</v>
      </c>
      <c r="B633" s="339" t="s">
        <v>233</v>
      </c>
    </row>
    <row r="634" spans="1:2" ht="15">
      <c r="A634" s="270">
        <v>938</v>
      </c>
      <c r="B634" s="325" t="s">
        <v>550</v>
      </c>
    </row>
    <row r="635" spans="1:2" ht="15">
      <c r="A635" s="270">
        <v>939</v>
      </c>
      <c r="B635" s="340" t="s">
        <v>551</v>
      </c>
    </row>
    <row r="636" spans="1:2" ht="25.5">
      <c r="A636" s="270">
        <v>940</v>
      </c>
      <c r="B636" s="324" t="s">
        <v>1747</v>
      </c>
    </row>
    <row r="637" spans="1:2" ht="15">
      <c r="A637" s="270">
        <v>941</v>
      </c>
      <c r="B637" s="337" t="s">
        <v>552</v>
      </c>
    </row>
    <row r="638" spans="1:2" ht="15">
      <c r="A638" s="270">
        <v>942</v>
      </c>
      <c r="B638" s="336" t="s">
        <v>392</v>
      </c>
    </row>
    <row r="639" spans="1:2" ht="25.5">
      <c r="A639" s="270">
        <v>943</v>
      </c>
      <c r="B639" s="335" t="s">
        <v>1406</v>
      </c>
    </row>
    <row r="640" spans="1:2" ht="15">
      <c r="A640" s="270">
        <v>944</v>
      </c>
      <c r="B640" s="325" t="s">
        <v>1787</v>
      </c>
    </row>
    <row r="641" spans="1:2" ht="15">
      <c r="A641" s="270">
        <v>945</v>
      </c>
      <c r="B641" s="334" t="s">
        <v>1788</v>
      </c>
    </row>
    <row r="642" spans="1:2" ht="15">
      <c r="A642" s="270">
        <v>946</v>
      </c>
      <c r="B642" s="335" t="s">
        <v>553</v>
      </c>
    </row>
    <row r="643" spans="1:2" ht="22.5">
      <c r="A643" s="270">
        <v>947</v>
      </c>
      <c r="B643" s="331" t="s">
        <v>555</v>
      </c>
    </row>
    <row r="644" spans="1:2" ht="22.5">
      <c r="A644" s="270">
        <v>948</v>
      </c>
      <c r="B644" s="331" t="s">
        <v>556</v>
      </c>
    </row>
    <row r="645" spans="1:2" ht="15">
      <c r="A645" s="270">
        <v>949</v>
      </c>
      <c r="B645" s="336" t="s">
        <v>554</v>
      </c>
    </row>
    <row r="646" spans="1:2" ht="15">
      <c r="A646" s="270">
        <v>950</v>
      </c>
      <c r="B646" s="336" t="s">
        <v>557</v>
      </c>
    </row>
    <row r="647" spans="1:2" ht="25.5">
      <c r="A647" s="270">
        <v>951</v>
      </c>
      <c r="B647" s="325" t="s">
        <v>558</v>
      </c>
    </row>
    <row r="648" spans="1:2" ht="15">
      <c r="A648" s="270">
        <v>952</v>
      </c>
      <c r="B648" s="336" t="s">
        <v>1790</v>
      </c>
    </row>
    <row r="649" spans="1:2" ht="25.5">
      <c r="A649" s="270">
        <v>953</v>
      </c>
      <c r="B649" s="324" t="s">
        <v>767</v>
      </c>
    </row>
    <row r="650" spans="1:2" ht="21">
      <c r="A650" s="270">
        <v>954</v>
      </c>
      <c r="B650" s="332" t="s">
        <v>559</v>
      </c>
    </row>
    <row r="651" spans="1:2" ht="15">
      <c r="A651" s="270">
        <v>955</v>
      </c>
      <c r="B651" s="332" t="s">
        <v>560</v>
      </c>
    </row>
    <row r="652" spans="1:2" ht="15">
      <c r="A652" s="471">
        <v>956</v>
      </c>
      <c r="B652" s="318" t="str">
        <f>$B$1488</f>
        <v>Heat eligible for heat benchmark sub-installations</v>
      </c>
    </row>
    <row r="653" spans="1:2" ht="22.5">
      <c r="A653" s="270">
        <v>957</v>
      </c>
      <c r="B653" s="331" t="s">
        <v>561</v>
      </c>
    </row>
    <row r="654" spans="1:2" ht="22.5">
      <c r="A654" s="270">
        <v>958</v>
      </c>
      <c r="B654" s="331" t="s">
        <v>562</v>
      </c>
    </row>
    <row r="655" spans="1:2" ht="22.5">
      <c r="A655" s="270">
        <v>959</v>
      </c>
      <c r="B655" s="331" t="s">
        <v>1101</v>
      </c>
    </row>
    <row r="656" spans="1:2" ht="15">
      <c r="A656" s="270">
        <v>985</v>
      </c>
      <c r="B656" s="330" t="s">
        <v>681</v>
      </c>
    </row>
    <row r="657" spans="1:2" ht="15">
      <c r="A657" s="270">
        <v>986</v>
      </c>
      <c r="B657" s="324" t="s">
        <v>822</v>
      </c>
    </row>
    <row r="658" spans="1:2" ht="22.5">
      <c r="A658" s="270">
        <v>987</v>
      </c>
      <c r="B658" s="331" t="s">
        <v>682</v>
      </c>
    </row>
    <row r="659" spans="1:2" ht="15">
      <c r="A659" s="270">
        <v>988</v>
      </c>
      <c r="B659" s="334" t="s">
        <v>1894</v>
      </c>
    </row>
    <row r="660" spans="1:2" ht="15">
      <c r="A660" s="270">
        <v>989</v>
      </c>
      <c r="B660" s="334" t="s">
        <v>826</v>
      </c>
    </row>
    <row r="661" spans="1:2" ht="15">
      <c r="A661" s="270">
        <v>990</v>
      </c>
      <c r="B661" s="325" t="s">
        <v>823</v>
      </c>
    </row>
    <row r="662" spans="1:2" ht="15">
      <c r="A662" s="270">
        <v>991</v>
      </c>
      <c r="B662" s="334" t="s">
        <v>824</v>
      </c>
    </row>
    <row r="663" spans="1:2" ht="15">
      <c r="A663" s="270">
        <v>992</v>
      </c>
      <c r="B663" s="325" t="s">
        <v>825</v>
      </c>
    </row>
    <row r="664" spans="1:2" ht="15">
      <c r="A664" s="270">
        <v>993</v>
      </c>
      <c r="B664" s="334" t="s">
        <v>594</v>
      </c>
    </row>
    <row r="665" spans="1:2" ht="15">
      <c r="A665" s="270">
        <v>994</v>
      </c>
      <c r="B665" s="325" t="s">
        <v>684</v>
      </c>
    </row>
    <row r="666" spans="1:2" ht="15">
      <c r="A666" s="270">
        <v>995</v>
      </c>
      <c r="B666" s="334" t="s">
        <v>474</v>
      </c>
    </row>
    <row r="667" spans="1:2" ht="15">
      <c r="A667" s="270">
        <v>996</v>
      </c>
      <c r="B667" s="325" t="s">
        <v>683</v>
      </c>
    </row>
    <row r="668" spans="1:2" ht="15">
      <c r="A668" s="270">
        <v>997</v>
      </c>
      <c r="B668" s="334" t="s">
        <v>685</v>
      </c>
    </row>
    <row r="669" spans="1:2" ht="25.5">
      <c r="A669" s="270">
        <v>998</v>
      </c>
      <c r="B669" s="325" t="s">
        <v>563</v>
      </c>
    </row>
    <row r="670" spans="1:2" ht="15">
      <c r="A670" s="270">
        <v>999</v>
      </c>
      <c r="B670" s="334" t="s">
        <v>564</v>
      </c>
    </row>
    <row r="671" spans="1:2" ht="15.75" thickBot="1">
      <c r="A671" s="270">
        <v>1000</v>
      </c>
      <c r="B671" s="334" t="s">
        <v>565</v>
      </c>
    </row>
    <row r="672" spans="1:2" ht="25.5">
      <c r="A672" s="270">
        <v>1001</v>
      </c>
      <c r="B672" s="290" t="s">
        <v>896</v>
      </c>
    </row>
    <row r="673" spans="1:2" ht="36">
      <c r="A673" s="270">
        <v>1002</v>
      </c>
      <c r="B673" s="283" t="s">
        <v>1258</v>
      </c>
    </row>
    <row r="674" spans="1:2" ht="15.75">
      <c r="A674" s="270">
        <v>1003</v>
      </c>
      <c r="B674" s="261" t="s">
        <v>1094</v>
      </c>
    </row>
    <row r="675" spans="1:2" ht="22.5">
      <c r="A675" s="270">
        <v>1006</v>
      </c>
      <c r="B675" s="254" t="s">
        <v>1302</v>
      </c>
    </row>
    <row r="676" spans="1:2" ht="22.5">
      <c r="A676" s="270">
        <v>1007</v>
      </c>
      <c r="B676" s="254" t="s">
        <v>84</v>
      </c>
    </row>
    <row r="677" spans="1:2" ht="15">
      <c r="A677" s="270">
        <v>1010</v>
      </c>
      <c r="B677" s="262" t="s">
        <v>870</v>
      </c>
    </row>
    <row r="678" spans="1:2" ht="15">
      <c r="A678" s="270">
        <v>1011</v>
      </c>
      <c r="B678" s="342" t="s">
        <v>817</v>
      </c>
    </row>
    <row r="679" spans="1:2" ht="15">
      <c r="A679" s="270">
        <v>1012</v>
      </c>
      <c r="B679" s="342" t="s">
        <v>818</v>
      </c>
    </row>
    <row r="680" spans="1:2" ht="15">
      <c r="A680" s="270">
        <v>1013</v>
      </c>
      <c r="B680" s="258" t="s">
        <v>872</v>
      </c>
    </row>
    <row r="681" spans="1:2" ht="22.5">
      <c r="A681" s="270">
        <v>1014</v>
      </c>
      <c r="B681" s="254" t="s">
        <v>873</v>
      </c>
    </row>
    <row r="682" spans="1:2" ht="15">
      <c r="A682" s="270">
        <v>1015</v>
      </c>
      <c r="B682" s="258" t="s">
        <v>1839</v>
      </c>
    </row>
    <row r="683" spans="1:2" ht="22.5">
      <c r="A683" s="270">
        <v>1016</v>
      </c>
      <c r="B683" s="254" t="s">
        <v>1303</v>
      </c>
    </row>
    <row r="684" spans="1:2" ht="15">
      <c r="A684" s="270">
        <v>1017</v>
      </c>
      <c r="B684" s="254" t="s">
        <v>792</v>
      </c>
    </row>
    <row r="685" spans="1:2" ht="15">
      <c r="A685" s="270">
        <v>1018</v>
      </c>
      <c r="B685" s="254" t="s">
        <v>634</v>
      </c>
    </row>
    <row r="686" spans="1:2" ht="22.5">
      <c r="A686" s="270">
        <v>1019</v>
      </c>
      <c r="B686" s="254" t="s">
        <v>281</v>
      </c>
    </row>
    <row r="687" spans="1:2" ht="22.5">
      <c r="A687" s="270">
        <v>1020</v>
      </c>
      <c r="B687" s="254" t="s">
        <v>786</v>
      </c>
    </row>
    <row r="688" spans="1:2" ht="15">
      <c r="A688" s="270">
        <v>1022</v>
      </c>
      <c r="B688" s="262" t="s">
        <v>793</v>
      </c>
    </row>
    <row r="689" spans="1:2" ht="15">
      <c r="A689" s="270">
        <v>1025</v>
      </c>
      <c r="B689" s="265" t="s">
        <v>864</v>
      </c>
    </row>
    <row r="690" spans="1:2" ht="15">
      <c r="A690" s="270">
        <v>1026</v>
      </c>
      <c r="B690" s="263" t="s">
        <v>865</v>
      </c>
    </row>
    <row r="691" spans="1:2" ht="15">
      <c r="A691" s="270">
        <v>1027</v>
      </c>
      <c r="B691" s="265" t="s">
        <v>866</v>
      </c>
    </row>
    <row r="692" spans="1:2" ht="15">
      <c r="A692" s="270">
        <v>1028</v>
      </c>
      <c r="B692" s="312" t="s">
        <v>867</v>
      </c>
    </row>
    <row r="693" spans="1:2" ht="15">
      <c r="A693" s="270">
        <v>1029</v>
      </c>
      <c r="B693" s="258" t="s">
        <v>226</v>
      </c>
    </row>
    <row r="694" spans="1:2" ht="22.5">
      <c r="A694" s="270">
        <v>1030</v>
      </c>
      <c r="B694" s="254" t="s">
        <v>227</v>
      </c>
    </row>
    <row r="695" spans="1:2" ht="22.5">
      <c r="A695" s="270">
        <v>1031</v>
      </c>
      <c r="B695" s="254" t="s">
        <v>1512</v>
      </c>
    </row>
    <row r="696" spans="1:2" ht="15">
      <c r="A696" s="270">
        <v>1035</v>
      </c>
      <c r="B696" s="263" t="s">
        <v>1944</v>
      </c>
    </row>
    <row r="697" spans="1:2" ht="15">
      <c r="A697" s="270">
        <v>1037</v>
      </c>
      <c r="B697" s="312" t="s">
        <v>381</v>
      </c>
    </row>
    <row r="698" spans="1:2" ht="15">
      <c r="A698" s="270">
        <v>1045</v>
      </c>
      <c r="B698" s="258" t="s">
        <v>998</v>
      </c>
    </row>
    <row r="699" spans="1:2" ht="22.5">
      <c r="A699" s="270">
        <v>1046</v>
      </c>
      <c r="B699" s="254" t="s">
        <v>1831</v>
      </c>
    </row>
    <row r="700" spans="1:2" ht="15">
      <c r="A700" s="270">
        <v>1062</v>
      </c>
      <c r="B700" s="344" t="s">
        <v>850</v>
      </c>
    </row>
    <row r="701" spans="1:2" ht="15">
      <c r="A701" s="270">
        <v>1087</v>
      </c>
      <c r="B701" s="295" t="s">
        <v>1940</v>
      </c>
    </row>
    <row r="702" spans="1:2" ht="25.5">
      <c r="A702" s="270">
        <v>1088</v>
      </c>
      <c r="B702" s="258" t="s">
        <v>1945</v>
      </c>
    </row>
    <row r="703" spans="1:2" ht="45">
      <c r="A703" s="270">
        <v>1089</v>
      </c>
      <c r="B703" s="254" t="s">
        <v>1946</v>
      </c>
    </row>
    <row r="704" spans="1:2" ht="15">
      <c r="A704" s="270">
        <v>1091</v>
      </c>
      <c r="B704" s="254" t="s">
        <v>259</v>
      </c>
    </row>
    <row r="705" spans="1:2" ht="15">
      <c r="A705" s="270">
        <v>1092</v>
      </c>
      <c r="B705" s="266" t="s">
        <v>1698</v>
      </c>
    </row>
    <row r="706" spans="1:2" ht="15">
      <c r="A706" s="270">
        <v>1093</v>
      </c>
      <c r="B706" s="254" t="s">
        <v>261</v>
      </c>
    </row>
    <row r="707" spans="1:2" ht="15">
      <c r="A707" s="270">
        <v>1094</v>
      </c>
      <c r="B707" s="266" t="s">
        <v>260</v>
      </c>
    </row>
    <row r="708" spans="1:2" ht="15">
      <c r="A708" s="270">
        <v>1095</v>
      </c>
      <c r="B708" s="346" t="s">
        <v>429</v>
      </c>
    </row>
    <row r="709" spans="1:2" ht="25.5">
      <c r="A709" s="270">
        <v>1096</v>
      </c>
      <c r="B709" s="258" t="s">
        <v>76</v>
      </c>
    </row>
    <row r="710" spans="1:2" ht="15.75" thickBot="1">
      <c r="A710" s="270">
        <v>1098</v>
      </c>
      <c r="B710" s="347" t="s">
        <v>871</v>
      </c>
    </row>
    <row r="711" spans="1:2" ht="26.25" thickBot="1">
      <c r="A711" s="270">
        <v>1099</v>
      </c>
      <c r="B711" s="290" t="s">
        <v>897</v>
      </c>
    </row>
    <row r="712" spans="1:2" ht="15.75" thickBot="1">
      <c r="A712" s="270">
        <v>1100</v>
      </c>
      <c r="B712" s="291" t="s">
        <v>917</v>
      </c>
    </row>
    <row r="713" spans="1:2" ht="15.75" thickBot="1">
      <c r="A713" s="270">
        <v>1101</v>
      </c>
      <c r="B713" s="292" t="s">
        <v>918</v>
      </c>
    </row>
    <row r="714" spans="1:2" ht="15.75" thickBot="1">
      <c r="A714" s="270">
        <v>1102</v>
      </c>
      <c r="B714" s="292" t="s">
        <v>919</v>
      </c>
    </row>
    <row r="715" spans="1:2" ht="15">
      <c r="A715" s="270">
        <v>1103</v>
      </c>
      <c r="B715" s="292" t="s">
        <v>920</v>
      </c>
    </row>
    <row r="716" spans="1:2" ht="15">
      <c r="A716" s="270">
        <v>1104</v>
      </c>
      <c r="B716" s="293" t="s">
        <v>915</v>
      </c>
    </row>
    <row r="717" spans="1:2" ht="15">
      <c r="A717" s="270">
        <v>1105</v>
      </c>
      <c r="B717" s="294" t="s">
        <v>916</v>
      </c>
    </row>
    <row r="718" spans="1:2" ht="36">
      <c r="A718" s="270">
        <v>1106</v>
      </c>
      <c r="B718" s="283" t="s">
        <v>1259</v>
      </c>
    </row>
    <row r="719" spans="1:2" ht="25.5">
      <c r="A719" s="270">
        <v>1122</v>
      </c>
      <c r="B719" s="258" t="s">
        <v>1840</v>
      </c>
    </row>
    <row r="720" spans="1:2" ht="22.5">
      <c r="A720" s="270">
        <v>1123</v>
      </c>
      <c r="B720" s="254" t="s">
        <v>353</v>
      </c>
    </row>
    <row r="721" spans="1:2" ht="22.5">
      <c r="A721" s="270">
        <v>1124</v>
      </c>
      <c r="B721" s="254" t="s">
        <v>1243</v>
      </c>
    </row>
    <row r="722" spans="1:2" ht="22.5">
      <c r="A722" s="270">
        <v>1125</v>
      </c>
      <c r="B722" s="254" t="s">
        <v>787</v>
      </c>
    </row>
    <row r="723" spans="1:2" ht="22.5">
      <c r="A723" s="270">
        <v>1126</v>
      </c>
      <c r="B723" s="254" t="s">
        <v>354</v>
      </c>
    </row>
    <row r="724" spans="1:2" ht="22.5">
      <c r="A724" s="270">
        <v>1127</v>
      </c>
      <c r="B724" s="254" t="s">
        <v>355</v>
      </c>
    </row>
    <row r="725" spans="1:2" ht="22.5">
      <c r="A725" s="270">
        <v>1128</v>
      </c>
      <c r="B725" s="254" t="s">
        <v>1104</v>
      </c>
    </row>
    <row r="726" spans="1:2" ht="56.25">
      <c r="A726" s="270">
        <v>1129</v>
      </c>
      <c r="B726" s="254" t="s">
        <v>632</v>
      </c>
    </row>
    <row r="727" spans="1:2" ht="22.5">
      <c r="A727" s="270">
        <v>1130</v>
      </c>
      <c r="B727" s="254" t="s">
        <v>580</v>
      </c>
    </row>
    <row r="728" spans="1:2" ht="15">
      <c r="A728" s="270">
        <v>1132</v>
      </c>
      <c r="B728" s="254" t="s">
        <v>1700</v>
      </c>
    </row>
    <row r="729" spans="1:2" ht="15">
      <c r="A729" s="270">
        <v>1133</v>
      </c>
      <c r="B729" s="345" t="s">
        <v>1105</v>
      </c>
    </row>
    <row r="730" spans="1:2" ht="15">
      <c r="A730" s="270">
        <v>1134</v>
      </c>
      <c r="B730" s="345" t="s">
        <v>1108</v>
      </c>
    </row>
    <row r="731" spans="1:2" ht="15">
      <c r="A731" s="270">
        <v>1135</v>
      </c>
      <c r="B731" s="346" t="s">
        <v>578</v>
      </c>
    </row>
    <row r="732" spans="1:2" ht="15">
      <c r="A732" s="270">
        <v>1136</v>
      </c>
      <c r="B732" s="258" t="s">
        <v>352</v>
      </c>
    </row>
    <row r="733" spans="1:3" ht="45.75" thickBot="1">
      <c r="A733" s="270">
        <v>1137</v>
      </c>
      <c r="B733" s="254" t="s">
        <v>351</v>
      </c>
      <c r="C733" s="254"/>
    </row>
    <row r="734" spans="1:2" ht="25.5">
      <c r="A734" s="270">
        <v>1144</v>
      </c>
      <c r="B734" s="290" t="s">
        <v>898</v>
      </c>
    </row>
    <row r="735" spans="1:2" ht="36">
      <c r="A735" s="270">
        <v>1145</v>
      </c>
      <c r="B735" s="283" t="s">
        <v>1260</v>
      </c>
    </row>
    <row r="736" spans="1:2" ht="15.75">
      <c r="A736" s="270">
        <v>1146</v>
      </c>
      <c r="B736" s="261" t="s">
        <v>807</v>
      </c>
    </row>
    <row r="737" spans="1:2" ht="30">
      <c r="A737" s="270">
        <v>1147</v>
      </c>
      <c r="B737" s="295" t="s">
        <v>808</v>
      </c>
    </row>
    <row r="738" spans="1:2" ht="22.5">
      <c r="A738" s="270">
        <v>1148</v>
      </c>
      <c r="B738" s="254" t="s">
        <v>1573</v>
      </c>
    </row>
    <row r="739" spans="1:2" ht="22.5">
      <c r="A739" s="270">
        <v>1149</v>
      </c>
      <c r="B739" s="254" t="s">
        <v>361</v>
      </c>
    </row>
    <row r="740" spans="1:2" ht="15">
      <c r="A740" s="270">
        <v>1151</v>
      </c>
      <c r="B740" s="258" t="s">
        <v>991</v>
      </c>
    </row>
    <row r="741" spans="1:2" ht="15">
      <c r="A741" s="270">
        <v>1153</v>
      </c>
      <c r="B741" s="258" t="s">
        <v>809</v>
      </c>
    </row>
    <row r="742" spans="1:2" ht="15">
      <c r="A742" s="270">
        <v>1154</v>
      </c>
      <c r="B742" s="254" t="s">
        <v>810</v>
      </c>
    </row>
    <row r="743" spans="1:2" ht="15">
      <c r="A743" s="270">
        <v>1155</v>
      </c>
      <c r="B743" s="254" t="s">
        <v>1416</v>
      </c>
    </row>
    <row r="744" spans="1:2" ht="15">
      <c r="A744" s="270">
        <v>1156</v>
      </c>
      <c r="B744" s="254" t="s">
        <v>811</v>
      </c>
    </row>
    <row r="745" spans="1:2" ht="15">
      <c r="A745" s="270">
        <v>1157</v>
      </c>
      <c r="B745" s="254" t="s">
        <v>812</v>
      </c>
    </row>
    <row r="746" spans="1:2" ht="15">
      <c r="A746" s="270">
        <v>1158</v>
      </c>
      <c r="B746" s="254" t="s">
        <v>813</v>
      </c>
    </row>
    <row r="747" spans="1:2" ht="15">
      <c r="A747" s="270">
        <v>1159</v>
      </c>
      <c r="B747" s="254" t="s">
        <v>814</v>
      </c>
    </row>
    <row r="748" spans="1:2" ht="15">
      <c r="A748" s="270">
        <v>1160</v>
      </c>
      <c r="B748" s="254" t="s">
        <v>411</v>
      </c>
    </row>
    <row r="749" spans="1:2" ht="21">
      <c r="A749" s="270">
        <v>1161</v>
      </c>
      <c r="B749" s="255" t="s">
        <v>1692</v>
      </c>
    </row>
    <row r="750" spans="1:2" ht="15">
      <c r="A750" s="270">
        <v>1162</v>
      </c>
      <c r="B750" s="348" t="s">
        <v>1808</v>
      </c>
    </row>
    <row r="751" spans="1:2" ht="15">
      <c r="A751" s="270">
        <v>1164</v>
      </c>
      <c r="B751" s="349" t="s">
        <v>1809</v>
      </c>
    </row>
    <row r="752" spans="1:2" ht="15">
      <c r="A752" s="270">
        <v>1165</v>
      </c>
      <c r="B752" s="309" t="s">
        <v>1810</v>
      </c>
    </row>
    <row r="753" spans="1:2" ht="15">
      <c r="A753" s="270">
        <v>1166</v>
      </c>
      <c r="B753" s="323" t="s">
        <v>1525</v>
      </c>
    </row>
    <row r="754" spans="1:2" ht="15">
      <c r="A754" s="270">
        <v>1167</v>
      </c>
      <c r="B754" s="264" t="s">
        <v>1526</v>
      </c>
    </row>
    <row r="755" spans="1:2" ht="15">
      <c r="A755" s="270">
        <v>1168</v>
      </c>
      <c r="B755" s="264" t="s">
        <v>1527</v>
      </c>
    </row>
    <row r="756" spans="1:2" ht="15">
      <c r="A756" s="270">
        <v>1169</v>
      </c>
      <c r="B756" s="264" t="s">
        <v>1004</v>
      </c>
    </row>
    <row r="757" spans="1:2" ht="15">
      <c r="A757" s="270">
        <v>1170</v>
      </c>
      <c r="B757" s="264" t="s">
        <v>1528</v>
      </c>
    </row>
    <row r="758" spans="1:2" ht="15">
      <c r="A758" s="270">
        <v>1171</v>
      </c>
      <c r="B758" s="264" t="s">
        <v>1529</v>
      </c>
    </row>
    <row r="759" spans="1:2" ht="15">
      <c r="A759" s="270">
        <v>1172</v>
      </c>
      <c r="B759" s="264" t="s">
        <v>1530</v>
      </c>
    </row>
    <row r="760" spans="1:2" ht="15">
      <c r="A760" s="270">
        <v>1173</v>
      </c>
      <c r="B760" s="264" t="s">
        <v>1531</v>
      </c>
    </row>
    <row r="761" spans="1:2" ht="15">
      <c r="A761" s="270">
        <v>1174</v>
      </c>
      <c r="B761" s="264" t="s">
        <v>1005</v>
      </c>
    </row>
    <row r="762" spans="1:2" ht="15">
      <c r="A762" s="270">
        <v>1175</v>
      </c>
      <c r="B762" s="264" t="s">
        <v>1532</v>
      </c>
    </row>
    <row r="763" spans="1:2" ht="15">
      <c r="A763" s="270">
        <v>1176</v>
      </c>
      <c r="B763" s="264" t="s">
        <v>607</v>
      </c>
    </row>
    <row r="764" spans="1:2" ht="15">
      <c r="A764" s="270">
        <v>1177</v>
      </c>
      <c r="B764" s="264" t="s">
        <v>797</v>
      </c>
    </row>
    <row r="765" spans="1:2" ht="15">
      <c r="A765" s="270">
        <v>1178</v>
      </c>
      <c r="B765" s="264" t="s">
        <v>1006</v>
      </c>
    </row>
    <row r="766" spans="1:2" ht="15">
      <c r="A766" s="270">
        <v>1179</v>
      </c>
      <c r="B766" s="264" t="s">
        <v>798</v>
      </c>
    </row>
    <row r="767" spans="1:2" ht="15">
      <c r="A767" s="270">
        <v>1180</v>
      </c>
      <c r="B767" s="264" t="s">
        <v>799</v>
      </c>
    </row>
    <row r="768" spans="1:2" ht="15">
      <c r="A768" s="270">
        <v>1181</v>
      </c>
      <c r="B768" s="264" t="s">
        <v>1007</v>
      </c>
    </row>
    <row r="769" spans="1:2" ht="15">
      <c r="A769" s="270">
        <v>1182</v>
      </c>
      <c r="B769" s="264" t="s">
        <v>800</v>
      </c>
    </row>
    <row r="770" spans="1:2" ht="15">
      <c r="A770" s="270">
        <v>1183</v>
      </c>
      <c r="B770" s="264" t="s">
        <v>1008</v>
      </c>
    </row>
    <row r="771" spans="1:2" ht="15">
      <c r="A771" s="270">
        <v>1184</v>
      </c>
      <c r="B771" s="264" t="s">
        <v>801</v>
      </c>
    </row>
    <row r="772" spans="1:2" ht="15">
      <c r="A772" s="270">
        <v>1185</v>
      </c>
      <c r="B772" s="264" t="s">
        <v>1009</v>
      </c>
    </row>
    <row r="773" spans="1:2" ht="15">
      <c r="A773" s="270">
        <v>1186</v>
      </c>
      <c r="B773" s="264" t="s">
        <v>982</v>
      </c>
    </row>
    <row r="774" spans="1:2" ht="15">
      <c r="A774" s="270">
        <v>1187</v>
      </c>
      <c r="B774" s="264" t="s">
        <v>802</v>
      </c>
    </row>
    <row r="775" spans="1:2" ht="15">
      <c r="A775" s="270">
        <v>1188</v>
      </c>
      <c r="B775" s="264" t="s">
        <v>803</v>
      </c>
    </row>
    <row r="776" spans="1:2" ht="15">
      <c r="A776" s="270">
        <v>1189</v>
      </c>
      <c r="B776" s="264" t="s">
        <v>983</v>
      </c>
    </row>
    <row r="777" spans="1:2" ht="15">
      <c r="A777" s="270">
        <v>1190</v>
      </c>
      <c r="B777" s="264" t="s">
        <v>984</v>
      </c>
    </row>
    <row r="778" spans="1:2" ht="15">
      <c r="A778" s="270">
        <v>1191</v>
      </c>
      <c r="B778" s="264" t="s">
        <v>985</v>
      </c>
    </row>
    <row r="779" spans="1:2" ht="15">
      <c r="A779" s="270">
        <v>1192</v>
      </c>
      <c r="B779" s="264" t="s">
        <v>986</v>
      </c>
    </row>
    <row r="780" spans="1:2" ht="15">
      <c r="A780" s="270">
        <v>1193</v>
      </c>
      <c r="B780" s="264" t="s">
        <v>987</v>
      </c>
    </row>
    <row r="781" spans="1:2" ht="15">
      <c r="A781" s="270">
        <v>1194</v>
      </c>
      <c r="B781" s="264" t="s">
        <v>988</v>
      </c>
    </row>
    <row r="782" spans="1:2" ht="15">
      <c r="A782" s="270">
        <v>1195</v>
      </c>
      <c r="B782" s="264" t="s">
        <v>1293</v>
      </c>
    </row>
    <row r="783" spans="1:2" ht="15">
      <c r="A783" s="270">
        <v>1196</v>
      </c>
      <c r="B783" s="264" t="s">
        <v>1294</v>
      </c>
    </row>
    <row r="784" spans="1:2" ht="15">
      <c r="A784" s="270">
        <v>1197</v>
      </c>
      <c r="B784" s="264" t="s">
        <v>1295</v>
      </c>
    </row>
    <row r="785" spans="1:2" ht="15">
      <c r="A785" s="270">
        <v>1198</v>
      </c>
      <c r="B785" s="264" t="s">
        <v>1296</v>
      </c>
    </row>
    <row r="786" spans="1:2" ht="15">
      <c r="A786" s="270">
        <v>1199</v>
      </c>
      <c r="B786" s="264" t="s">
        <v>1297</v>
      </c>
    </row>
    <row r="787" spans="1:2" ht="15">
      <c r="A787" s="270">
        <v>1200</v>
      </c>
      <c r="B787" s="264" t="s">
        <v>1298</v>
      </c>
    </row>
    <row r="788" spans="1:2" ht="15">
      <c r="A788" s="270">
        <v>1201</v>
      </c>
      <c r="B788" s="264" t="s">
        <v>1299</v>
      </c>
    </row>
    <row r="789" spans="1:2" ht="15">
      <c r="A789" s="270">
        <v>1202</v>
      </c>
      <c r="B789" s="264" t="s">
        <v>1300</v>
      </c>
    </row>
    <row r="790" spans="1:2" ht="15">
      <c r="A790" s="270">
        <v>1203</v>
      </c>
      <c r="B790" s="264" t="s">
        <v>1301</v>
      </c>
    </row>
    <row r="791" spans="1:2" ht="15">
      <c r="A791" s="270">
        <v>1204</v>
      </c>
      <c r="B791" s="264" t="s">
        <v>1114</v>
      </c>
    </row>
    <row r="792" spans="1:2" ht="15">
      <c r="A792" s="270">
        <v>1205</v>
      </c>
      <c r="B792" s="264" t="s">
        <v>1115</v>
      </c>
    </row>
    <row r="793" spans="1:2" ht="15">
      <c r="A793" s="270">
        <v>1206</v>
      </c>
      <c r="B793" s="264" t="s">
        <v>1116</v>
      </c>
    </row>
    <row r="794" spans="1:2" ht="15">
      <c r="A794" s="270">
        <v>1207</v>
      </c>
      <c r="B794" s="264" t="s">
        <v>804</v>
      </c>
    </row>
    <row r="795" spans="1:2" ht="15">
      <c r="A795" s="270">
        <v>1208</v>
      </c>
      <c r="B795" s="264" t="s">
        <v>805</v>
      </c>
    </row>
    <row r="796" spans="1:2" ht="15">
      <c r="A796" s="270">
        <v>1209</v>
      </c>
      <c r="B796" s="264" t="s">
        <v>806</v>
      </c>
    </row>
    <row r="797" spans="1:2" ht="15">
      <c r="A797" s="270">
        <v>1210</v>
      </c>
      <c r="B797" s="264" t="s">
        <v>1117</v>
      </c>
    </row>
    <row r="798" spans="1:2" ht="15">
      <c r="A798" s="270">
        <v>1211</v>
      </c>
      <c r="B798" s="264" t="s">
        <v>1118</v>
      </c>
    </row>
    <row r="799" spans="1:2" ht="15">
      <c r="A799" s="270">
        <v>1212</v>
      </c>
      <c r="B799" s="264" t="s">
        <v>1119</v>
      </c>
    </row>
    <row r="800" spans="1:2" ht="15">
      <c r="A800" s="270">
        <v>1213</v>
      </c>
      <c r="B800" s="264" t="s">
        <v>1120</v>
      </c>
    </row>
    <row r="801" spans="1:2" ht="15">
      <c r="A801" s="270">
        <v>1214</v>
      </c>
      <c r="B801" s="264" t="s">
        <v>1121</v>
      </c>
    </row>
    <row r="802" spans="1:2" ht="15">
      <c r="A802" s="270">
        <v>1215</v>
      </c>
      <c r="B802" s="264" t="s">
        <v>1122</v>
      </c>
    </row>
    <row r="803" spans="1:2" ht="15">
      <c r="A803" s="270">
        <v>1216</v>
      </c>
      <c r="B803" s="264" t="s">
        <v>1123</v>
      </c>
    </row>
    <row r="804" spans="1:2" ht="15">
      <c r="A804" s="270">
        <v>1217</v>
      </c>
      <c r="B804" s="264" t="s">
        <v>1124</v>
      </c>
    </row>
    <row r="805" spans="1:2" ht="15">
      <c r="A805" s="270">
        <v>1218</v>
      </c>
      <c r="B805" s="264" t="s">
        <v>1125</v>
      </c>
    </row>
    <row r="806" spans="1:2" ht="15">
      <c r="A806" s="270">
        <v>1219</v>
      </c>
      <c r="B806" s="264" t="s">
        <v>1126</v>
      </c>
    </row>
    <row r="807" spans="1:2" ht="15">
      <c r="A807" s="270">
        <v>1220</v>
      </c>
      <c r="B807" s="265" t="s">
        <v>1524</v>
      </c>
    </row>
    <row r="808" spans="1:2" ht="15">
      <c r="A808" s="270">
        <v>1221</v>
      </c>
      <c r="B808" s="258" t="s">
        <v>412</v>
      </c>
    </row>
    <row r="809" spans="1:2" ht="22.5">
      <c r="A809" s="270">
        <v>1222</v>
      </c>
      <c r="B809" s="254" t="s">
        <v>1829</v>
      </c>
    </row>
    <row r="810" spans="1:2" ht="21">
      <c r="A810" s="270">
        <v>1223</v>
      </c>
      <c r="B810" s="255" t="s">
        <v>244</v>
      </c>
    </row>
    <row r="811" spans="1:2" ht="21">
      <c r="A811" s="270">
        <v>1224</v>
      </c>
      <c r="B811" s="255" t="s">
        <v>1227</v>
      </c>
    </row>
    <row r="812" spans="1:2" ht="15">
      <c r="A812" s="270">
        <v>1226</v>
      </c>
      <c r="B812" s="318" t="s">
        <v>1228</v>
      </c>
    </row>
    <row r="813" spans="1:2" ht="30">
      <c r="A813" s="270">
        <v>1227</v>
      </c>
      <c r="B813" s="295" t="s">
        <v>245</v>
      </c>
    </row>
    <row r="814" spans="1:2" ht="22.5">
      <c r="A814" s="270">
        <v>1228</v>
      </c>
      <c r="B814" s="254" t="s">
        <v>711</v>
      </c>
    </row>
    <row r="815" spans="1:2" ht="15">
      <c r="A815" s="270">
        <v>1229</v>
      </c>
      <c r="B815" s="258" t="s">
        <v>992</v>
      </c>
    </row>
    <row r="816" spans="1:2" ht="22.5">
      <c r="A816" s="270">
        <v>1230</v>
      </c>
      <c r="B816" s="254" t="s">
        <v>1613</v>
      </c>
    </row>
    <row r="817" spans="1:2" ht="15">
      <c r="A817" s="270">
        <v>1231</v>
      </c>
      <c r="B817" s="309" t="s">
        <v>993</v>
      </c>
    </row>
    <row r="818" spans="1:2" ht="15">
      <c r="A818" s="270">
        <v>1232</v>
      </c>
      <c r="B818" s="258" t="s">
        <v>994</v>
      </c>
    </row>
    <row r="819" spans="1:2" ht="15">
      <c r="A819" s="270">
        <v>1233</v>
      </c>
      <c r="B819" s="254" t="s">
        <v>995</v>
      </c>
    </row>
    <row r="820" spans="1:2" ht="22.5">
      <c r="A820" s="270">
        <v>1234</v>
      </c>
      <c r="B820" s="254" t="s">
        <v>997</v>
      </c>
    </row>
    <row r="821" spans="1:2" ht="22.5">
      <c r="A821" s="270">
        <v>1235</v>
      </c>
      <c r="B821" s="254" t="s">
        <v>996</v>
      </c>
    </row>
    <row r="822" spans="1:2" ht="22.5">
      <c r="A822" s="270">
        <v>1236</v>
      </c>
      <c r="B822" s="254" t="s">
        <v>1074</v>
      </c>
    </row>
    <row r="823" spans="1:2" ht="22.5">
      <c r="A823" s="270">
        <v>1237</v>
      </c>
      <c r="B823" s="254" t="s">
        <v>1084</v>
      </c>
    </row>
    <row r="824" spans="1:2" ht="15">
      <c r="A824" s="270">
        <v>1238</v>
      </c>
      <c r="B824" s="263" t="s">
        <v>1085</v>
      </c>
    </row>
    <row r="825" spans="1:2" ht="15">
      <c r="A825" s="270">
        <v>1239</v>
      </c>
      <c r="B825" s="265" t="s">
        <v>1086</v>
      </c>
    </row>
    <row r="826" spans="1:2" ht="15">
      <c r="A826" s="270">
        <v>1240</v>
      </c>
      <c r="B826" s="258" t="s">
        <v>1087</v>
      </c>
    </row>
    <row r="827" spans="1:2" ht="22.5">
      <c r="A827" s="270">
        <v>1241</v>
      </c>
      <c r="B827" s="254" t="s">
        <v>1002</v>
      </c>
    </row>
    <row r="828" spans="1:2" ht="15">
      <c r="A828" s="270">
        <v>1242</v>
      </c>
      <c r="B828" s="309" t="s">
        <v>1003</v>
      </c>
    </row>
    <row r="829" spans="1:2" ht="30">
      <c r="A829" s="270">
        <v>1243</v>
      </c>
      <c r="B829" s="295" t="s">
        <v>1614</v>
      </c>
    </row>
    <row r="830" spans="1:2" ht="22.5">
      <c r="A830" s="270">
        <v>1244</v>
      </c>
      <c r="B830" s="254" t="s">
        <v>257</v>
      </c>
    </row>
    <row r="831" spans="1:2" ht="15">
      <c r="A831" s="270">
        <v>1245</v>
      </c>
      <c r="B831" s="258" t="s">
        <v>258</v>
      </c>
    </row>
    <row r="832" spans="1:2" ht="22.5">
      <c r="A832" s="270">
        <v>1246</v>
      </c>
      <c r="B832" s="254" t="s">
        <v>922</v>
      </c>
    </row>
    <row r="833" spans="1:2" ht="15">
      <c r="A833" s="270">
        <v>1247</v>
      </c>
      <c r="B833" s="309" t="s">
        <v>923</v>
      </c>
    </row>
    <row r="834" spans="1:2" ht="15">
      <c r="A834" s="270">
        <v>1248</v>
      </c>
      <c r="B834" s="254" t="s">
        <v>924</v>
      </c>
    </row>
    <row r="835" spans="1:2" ht="22.5">
      <c r="A835" s="270">
        <v>1249</v>
      </c>
      <c r="B835" s="254" t="s">
        <v>1858</v>
      </c>
    </row>
    <row r="836" spans="1:2" ht="22.5">
      <c r="A836" s="270">
        <v>1250</v>
      </c>
      <c r="B836" s="254" t="s">
        <v>1859</v>
      </c>
    </row>
    <row r="837" spans="1:2" ht="22.5">
      <c r="A837" s="270">
        <v>1251</v>
      </c>
      <c r="B837" s="254" t="s">
        <v>712</v>
      </c>
    </row>
    <row r="838" spans="1:2" ht="22.5">
      <c r="A838" s="270">
        <v>1252</v>
      </c>
      <c r="B838" s="254" t="s">
        <v>1860</v>
      </c>
    </row>
    <row r="839" spans="1:2" ht="15">
      <c r="A839" s="270">
        <v>1253</v>
      </c>
      <c r="B839" s="258" t="s">
        <v>1861</v>
      </c>
    </row>
    <row r="840" spans="1:2" ht="22.5">
      <c r="A840" s="270">
        <v>1254</v>
      </c>
      <c r="B840" s="254" t="s">
        <v>1270</v>
      </c>
    </row>
    <row r="841" spans="1:2" ht="15">
      <c r="A841" s="270">
        <v>1255</v>
      </c>
      <c r="B841" s="309" t="s">
        <v>1271</v>
      </c>
    </row>
    <row r="842" spans="1:2" ht="30">
      <c r="A842" s="270">
        <v>1256</v>
      </c>
      <c r="B842" s="295" t="s">
        <v>318</v>
      </c>
    </row>
    <row r="843" spans="1:2" ht="22.5">
      <c r="A843" s="270">
        <v>1257</v>
      </c>
      <c r="B843" s="254" t="s">
        <v>713</v>
      </c>
    </row>
    <row r="844" spans="1:2" ht="15">
      <c r="A844" s="270">
        <v>1258</v>
      </c>
      <c r="B844" s="258" t="s">
        <v>1272</v>
      </c>
    </row>
    <row r="845" spans="1:2" ht="15">
      <c r="A845" s="270">
        <v>1259</v>
      </c>
      <c r="B845" s="254" t="s">
        <v>1273</v>
      </c>
    </row>
    <row r="846" spans="1:2" ht="15">
      <c r="A846" s="270">
        <v>1260</v>
      </c>
      <c r="B846" s="309" t="s">
        <v>1274</v>
      </c>
    </row>
    <row r="847" spans="1:2" ht="15">
      <c r="A847" s="270">
        <v>1261</v>
      </c>
      <c r="B847" s="258" t="s">
        <v>1275</v>
      </c>
    </row>
    <row r="848" spans="1:2" ht="15">
      <c r="A848" s="270">
        <v>1262</v>
      </c>
      <c r="B848" s="254" t="s">
        <v>1276</v>
      </c>
    </row>
    <row r="849" spans="1:2" ht="22.5">
      <c r="A849" s="270">
        <v>1263</v>
      </c>
      <c r="B849" s="254" t="s">
        <v>85</v>
      </c>
    </row>
    <row r="850" spans="1:2" ht="22.5">
      <c r="A850" s="270">
        <v>1264</v>
      </c>
      <c r="B850" s="254" t="s">
        <v>86</v>
      </c>
    </row>
    <row r="851" spans="1:2" ht="22.5">
      <c r="A851" s="270">
        <v>1265</v>
      </c>
      <c r="B851" s="254" t="s">
        <v>87</v>
      </c>
    </row>
    <row r="852" spans="1:2" ht="15">
      <c r="A852" s="270">
        <v>1266</v>
      </c>
      <c r="B852" s="262" t="s">
        <v>1277</v>
      </c>
    </row>
    <row r="853" spans="1:2" ht="15">
      <c r="A853" s="270">
        <v>1267</v>
      </c>
      <c r="B853" s="264" t="s">
        <v>1278</v>
      </c>
    </row>
    <row r="854" spans="1:2" ht="15">
      <c r="A854" s="270">
        <v>1268</v>
      </c>
      <c r="B854" s="265" t="s">
        <v>180</v>
      </c>
    </row>
    <row r="855" spans="1:2" ht="15">
      <c r="A855" s="270">
        <v>1269</v>
      </c>
      <c r="B855" s="258" t="s">
        <v>181</v>
      </c>
    </row>
    <row r="856" spans="1:2" ht="22.5">
      <c r="A856" s="270">
        <v>1270</v>
      </c>
      <c r="B856" s="254" t="s">
        <v>182</v>
      </c>
    </row>
    <row r="857" spans="1:2" ht="15">
      <c r="A857" s="270">
        <v>1271</v>
      </c>
      <c r="B857" s="309" t="s">
        <v>183</v>
      </c>
    </row>
    <row r="858" spans="1:2" ht="30">
      <c r="A858" s="270">
        <v>1272</v>
      </c>
      <c r="B858" s="295" t="s">
        <v>1201</v>
      </c>
    </row>
    <row r="859" spans="1:2" ht="22.5">
      <c r="A859" s="270">
        <v>1273</v>
      </c>
      <c r="B859" s="254" t="s">
        <v>1202</v>
      </c>
    </row>
    <row r="860" spans="1:2" ht="22.5">
      <c r="A860" s="270">
        <v>1274</v>
      </c>
      <c r="B860" s="254" t="s">
        <v>386</v>
      </c>
    </row>
    <row r="861" spans="1:2" ht="15">
      <c r="A861" s="270">
        <v>1276</v>
      </c>
      <c r="B861" s="258" t="s">
        <v>1204</v>
      </c>
    </row>
    <row r="862" spans="1:2" ht="15">
      <c r="A862" s="270">
        <v>1278</v>
      </c>
      <c r="B862" s="262" t="s">
        <v>1205</v>
      </c>
    </row>
    <row r="863" spans="1:2" ht="25.5">
      <c r="A863" s="270">
        <v>1279</v>
      </c>
      <c r="B863" s="350" t="s">
        <v>1206</v>
      </c>
    </row>
    <row r="864" spans="1:2" ht="25.5">
      <c r="A864" s="270">
        <v>1280</v>
      </c>
      <c r="B864" s="258" t="s">
        <v>387</v>
      </c>
    </row>
    <row r="865" spans="1:2" ht="15">
      <c r="A865" s="270">
        <v>1281</v>
      </c>
      <c r="B865" s="254" t="s">
        <v>388</v>
      </c>
    </row>
    <row r="866" spans="1:2" ht="15.75">
      <c r="A866" s="270">
        <v>1282</v>
      </c>
      <c r="B866" s="261" t="s">
        <v>1229</v>
      </c>
    </row>
    <row r="867" spans="1:2" ht="30">
      <c r="A867" s="270">
        <v>1283</v>
      </c>
      <c r="B867" s="295" t="s">
        <v>714</v>
      </c>
    </row>
    <row r="868" spans="1:2" ht="22.5">
      <c r="A868" s="270">
        <v>1284</v>
      </c>
      <c r="B868" s="254" t="s">
        <v>1230</v>
      </c>
    </row>
    <row r="869" spans="1:2" ht="22.5">
      <c r="A869" s="270">
        <v>1285</v>
      </c>
      <c r="B869" s="254" t="s">
        <v>602</v>
      </c>
    </row>
    <row r="870" spans="1:2" ht="15">
      <c r="A870" s="270">
        <v>1286</v>
      </c>
      <c r="B870" s="254" t="s">
        <v>362</v>
      </c>
    </row>
    <row r="871" spans="1:2" ht="15">
      <c r="A871" s="270">
        <v>1287</v>
      </c>
      <c r="B871" s="264" t="s">
        <v>1417</v>
      </c>
    </row>
    <row r="872" spans="1:2" ht="15">
      <c r="A872" s="270">
        <v>1288</v>
      </c>
      <c r="B872" s="258" t="s">
        <v>1418</v>
      </c>
    </row>
    <row r="873" spans="1:2" ht="22.5">
      <c r="A873" s="270">
        <v>1289</v>
      </c>
      <c r="B873" s="254" t="s">
        <v>1419</v>
      </c>
    </row>
    <row r="874" spans="1:2" ht="21">
      <c r="A874" s="270">
        <v>1290</v>
      </c>
      <c r="B874" s="255" t="s">
        <v>1693</v>
      </c>
    </row>
    <row r="875" spans="1:2" ht="21">
      <c r="A875" s="270">
        <v>1291</v>
      </c>
      <c r="B875" s="255" t="s">
        <v>204</v>
      </c>
    </row>
    <row r="876" spans="1:2" ht="15">
      <c r="A876" s="270">
        <v>1292</v>
      </c>
      <c r="B876" s="318" t="s">
        <v>205</v>
      </c>
    </row>
    <row r="877" spans="1:2" ht="30">
      <c r="A877" s="270">
        <v>1293</v>
      </c>
      <c r="B877" s="295" t="s">
        <v>184</v>
      </c>
    </row>
    <row r="878" spans="1:2" ht="22.5">
      <c r="A878" s="270">
        <v>1294</v>
      </c>
      <c r="B878" s="254" t="s">
        <v>185</v>
      </c>
    </row>
    <row r="879" spans="1:2" ht="15">
      <c r="A879" s="270">
        <v>1295</v>
      </c>
      <c r="B879" s="255" t="s">
        <v>735</v>
      </c>
    </row>
    <row r="880" spans="1:2" ht="15">
      <c r="A880" s="270">
        <v>1296</v>
      </c>
      <c r="B880" s="258" t="s">
        <v>437</v>
      </c>
    </row>
    <row r="881" spans="1:2" ht="22.5">
      <c r="A881" s="270">
        <v>1297</v>
      </c>
      <c r="B881" s="254" t="s">
        <v>186</v>
      </c>
    </row>
    <row r="882" spans="1:2" ht="21">
      <c r="A882" s="270">
        <v>1298</v>
      </c>
      <c r="B882" s="255" t="s">
        <v>439</v>
      </c>
    </row>
    <row r="883" spans="1:2" ht="15">
      <c r="A883" s="270">
        <v>1299</v>
      </c>
      <c r="B883" s="309" t="s">
        <v>187</v>
      </c>
    </row>
    <row r="884" spans="1:2" ht="15">
      <c r="A884" s="270">
        <v>1300</v>
      </c>
      <c r="B884" s="258" t="s">
        <v>434</v>
      </c>
    </row>
    <row r="885" spans="1:2" ht="22.5">
      <c r="A885" s="270">
        <v>1301</v>
      </c>
      <c r="B885" s="254" t="s">
        <v>431</v>
      </c>
    </row>
    <row r="886" spans="1:2" ht="15">
      <c r="A886" s="270">
        <v>1302</v>
      </c>
      <c r="B886" s="254" t="s">
        <v>432</v>
      </c>
    </row>
    <row r="887" spans="1:2" ht="15">
      <c r="A887" s="270">
        <v>1303</v>
      </c>
      <c r="B887" s="309" t="s">
        <v>433</v>
      </c>
    </row>
    <row r="888" spans="1:2" ht="15">
      <c r="A888" s="270">
        <v>1304</v>
      </c>
      <c r="B888" s="258" t="s">
        <v>438</v>
      </c>
    </row>
    <row r="889" spans="1:2" ht="22.5">
      <c r="A889" s="270">
        <v>1305</v>
      </c>
      <c r="B889" s="254" t="s">
        <v>435</v>
      </c>
    </row>
    <row r="890" spans="1:2" ht="15">
      <c r="A890" s="270">
        <v>1306</v>
      </c>
      <c r="B890" s="254" t="s">
        <v>391</v>
      </c>
    </row>
    <row r="891" spans="1:2" ht="15">
      <c r="A891" s="270">
        <v>1307</v>
      </c>
      <c r="B891" s="309" t="s">
        <v>436</v>
      </c>
    </row>
    <row r="892" spans="1:2" ht="30">
      <c r="A892" s="270">
        <v>1308</v>
      </c>
      <c r="B892" s="295" t="s">
        <v>440</v>
      </c>
    </row>
    <row r="893" spans="1:2" ht="22.5">
      <c r="A893" s="270">
        <v>1309</v>
      </c>
      <c r="B893" s="254" t="s">
        <v>1407</v>
      </c>
    </row>
    <row r="894" spans="1:2" ht="15">
      <c r="A894" s="270">
        <v>1310</v>
      </c>
      <c r="B894" s="255" t="s">
        <v>715</v>
      </c>
    </row>
    <row r="895" spans="1:2" ht="15">
      <c r="A895" s="270">
        <v>1311</v>
      </c>
      <c r="B895" s="258" t="s">
        <v>1499</v>
      </c>
    </row>
    <row r="896" spans="1:2" ht="22.5">
      <c r="A896" s="270">
        <v>1312</v>
      </c>
      <c r="B896" s="254" t="s">
        <v>1500</v>
      </c>
    </row>
    <row r="897" spans="1:2" ht="15">
      <c r="A897" s="270">
        <v>1313</v>
      </c>
      <c r="B897" s="309" t="s">
        <v>1503</v>
      </c>
    </row>
    <row r="898" spans="1:2" ht="15">
      <c r="A898" s="270">
        <v>1314</v>
      </c>
      <c r="B898" s="254" t="s">
        <v>1504</v>
      </c>
    </row>
    <row r="899" spans="1:2" ht="25.5">
      <c r="A899" s="270">
        <v>1315</v>
      </c>
      <c r="B899" s="258" t="s">
        <v>1505</v>
      </c>
    </row>
    <row r="900" spans="1:2" ht="22.5">
      <c r="A900" s="270">
        <v>1316</v>
      </c>
      <c r="B900" s="254" t="s">
        <v>1506</v>
      </c>
    </row>
    <row r="901" spans="1:2" ht="15">
      <c r="A901" s="270">
        <v>1317</v>
      </c>
      <c r="B901" s="309" t="s">
        <v>1507</v>
      </c>
    </row>
    <row r="902" spans="1:2" ht="15.75">
      <c r="A902" s="270">
        <v>1318</v>
      </c>
      <c r="B902" s="261" t="s">
        <v>1508</v>
      </c>
    </row>
    <row r="903" spans="1:2" ht="30">
      <c r="A903" s="270">
        <v>1319</v>
      </c>
      <c r="B903" s="295" t="s">
        <v>1509</v>
      </c>
    </row>
    <row r="904" spans="1:2" ht="22.5">
      <c r="A904" s="270">
        <v>1320</v>
      </c>
      <c r="B904" s="254" t="s">
        <v>1510</v>
      </c>
    </row>
    <row r="905" spans="1:2" ht="15">
      <c r="A905" s="270">
        <v>1321</v>
      </c>
      <c r="B905" s="258" t="s">
        <v>885</v>
      </c>
    </row>
    <row r="906" spans="1:2" ht="22.5">
      <c r="A906" s="270">
        <v>1322</v>
      </c>
      <c r="B906" s="254" t="s">
        <v>1413</v>
      </c>
    </row>
    <row r="907" spans="1:2" ht="22.5">
      <c r="A907" s="270">
        <v>1323</v>
      </c>
      <c r="B907" s="254" t="s">
        <v>1843</v>
      </c>
    </row>
    <row r="908" spans="1:2" ht="15">
      <c r="A908" s="270">
        <v>1324</v>
      </c>
      <c r="B908" s="263" t="s">
        <v>1409</v>
      </c>
    </row>
    <row r="909" spans="1:2" ht="15">
      <c r="A909" s="270">
        <v>1325</v>
      </c>
      <c r="B909" s="264" t="s">
        <v>1410</v>
      </c>
    </row>
    <row r="910" spans="1:2" ht="15">
      <c r="A910" s="270">
        <v>1326</v>
      </c>
      <c r="B910" s="264" t="s">
        <v>1411</v>
      </c>
    </row>
    <row r="911" spans="1:2" ht="15">
      <c r="A911" s="270">
        <v>1327</v>
      </c>
      <c r="B911" s="265" t="s">
        <v>1412</v>
      </c>
    </row>
    <row r="912" spans="1:2" ht="15">
      <c r="A912" s="270">
        <v>1328</v>
      </c>
      <c r="B912" s="309" t="s">
        <v>1408</v>
      </c>
    </row>
    <row r="913" spans="1:2" ht="25.5">
      <c r="A913" s="270">
        <v>1329</v>
      </c>
      <c r="B913" s="258" t="s">
        <v>1414</v>
      </c>
    </row>
    <row r="914" spans="1:2" ht="22.5">
      <c r="A914" s="270">
        <v>1330</v>
      </c>
      <c r="B914" s="254" t="s">
        <v>88</v>
      </c>
    </row>
    <row r="915" spans="1:2" ht="15">
      <c r="A915" s="270">
        <v>1331</v>
      </c>
      <c r="B915" s="309" t="s">
        <v>463</v>
      </c>
    </row>
    <row r="916" spans="1:2" ht="15.75">
      <c r="A916" s="270">
        <v>1332</v>
      </c>
      <c r="B916" s="261" t="s">
        <v>636</v>
      </c>
    </row>
    <row r="917" spans="1:2" ht="30">
      <c r="A917" s="270">
        <v>1333</v>
      </c>
      <c r="B917" s="295" t="s">
        <v>1213</v>
      </c>
    </row>
    <row r="918" spans="1:2" ht="22.5">
      <c r="A918" s="270">
        <v>1334</v>
      </c>
      <c r="B918" s="254" t="s">
        <v>635</v>
      </c>
    </row>
    <row r="919" spans="1:2" ht="15">
      <c r="A919" s="270">
        <v>1335</v>
      </c>
      <c r="B919" s="254" t="s">
        <v>1203</v>
      </c>
    </row>
    <row r="920" spans="1:2" ht="22.5">
      <c r="A920" s="270">
        <v>1336</v>
      </c>
      <c r="B920" s="254" t="s">
        <v>1740</v>
      </c>
    </row>
    <row r="921" spans="1:2" ht="15">
      <c r="A921" s="270">
        <v>1337</v>
      </c>
      <c r="B921" s="254" t="s">
        <v>921</v>
      </c>
    </row>
    <row r="922" spans="1:2" ht="22.5">
      <c r="A922" s="270">
        <v>1338</v>
      </c>
      <c r="B922" s="254" t="s">
        <v>633</v>
      </c>
    </row>
    <row r="923" spans="1:2" ht="15">
      <c r="A923" s="270">
        <v>1339</v>
      </c>
      <c r="B923" s="258" t="s">
        <v>230</v>
      </c>
    </row>
    <row r="924" spans="1:2" ht="15">
      <c r="A924" s="270">
        <v>1340</v>
      </c>
      <c r="B924" s="254" t="s">
        <v>637</v>
      </c>
    </row>
    <row r="925" spans="1:2" ht="15.75" thickBot="1">
      <c r="A925" s="270">
        <v>1343</v>
      </c>
      <c r="B925" s="265" t="s">
        <v>228</v>
      </c>
    </row>
    <row r="926" spans="1:2" ht="25.5">
      <c r="A926" s="270">
        <v>1344</v>
      </c>
      <c r="B926" s="290" t="s">
        <v>899</v>
      </c>
    </row>
    <row r="927" spans="1:2" ht="18">
      <c r="A927" s="270">
        <v>1345</v>
      </c>
      <c r="B927" s="351" t="s">
        <v>971</v>
      </c>
    </row>
    <row r="928" spans="1:2" ht="16.5" thickBot="1">
      <c r="A928" s="270">
        <v>1346</v>
      </c>
      <c r="B928" s="12" t="s">
        <v>972</v>
      </c>
    </row>
    <row r="929" spans="1:2" ht="25.5">
      <c r="A929" s="270">
        <v>1347</v>
      </c>
      <c r="B929" s="290" t="s">
        <v>900</v>
      </c>
    </row>
    <row r="930" spans="1:2" ht="36">
      <c r="A930" s="270">
        <v>1348</v>
      </c>
      <c r="B930" s="283" t="s">
        <v>1262</v>
      </c>
    </row>
    <row r="931" spans="1:2" ht="15.75">
      <c r="A931" s="270">
        <v>1349</v>
      </c>
      <c r="B931" s="261" t="s">
        <v>571</v>
      </c>
    </row>
    <row r="932" spans="1:2" ht="30">
      <c r="A932" s="270">
        <v>1350</v>
      </c>
      <c r="B932" s="295" t="s">
        <v>570</v>
      </c>
    </row>
    <row r="933" spans="1:2" ht="22.5">
      <c r="A933" s="270">
        <v>1351</v>
      </c>
      <c r="B933" s="254" t="s">
        <v>575</v>
      </c>
    </row>
    <row r="934" spans="1:2" ht="15">
      <c r="A934" s="270">
        <v>1352</v>
      </c>
      <c r="B934" s="254" t="s">
        <v>576</v>
      </c>
    </row>
    <row r="935" spans="1:2" ht="22.5">
      <c r="A935" s="270">
        <v>1353</v>
      </c>
      <c r="B935" s="254" t="s">
        <v>1265</v>
      </c>
    </row>
    <row r="936" spans="1:2" ht="22.5">
      <c r="A936" s="270">
        <v>1354</v>
      </c>
      <c r="B936" s="254" t="s">
        <v>1264</v>
      </c>
    </row>
    <row r="937" spans="1:2" ht="22.5">
      <c r="A937" s="270">
        <v>1355</v>
      </c>
      <c r="B937" s="254" t="s">
        <v>1741</v>
      </c>
    </row>
    <row r="938" spans="1:2" ht="22.5">
      <c r="A938" s="270">
        <v>1357</v>
      </c>
      <c r="B938" s="352" t="s">
        <v>572</v>
      </c>
    </row>
    <row r="939" spans="1:2" ht="15">
      <c r="A939" s="270">
        <v>1358</v>
      </c>
      <c r="B939" s="262" t="s">
        <v>573</v>
      </c>
    </row>
    <row r="940" spans="1:2" ht="15">
      <c r="A940" s="270">
        <v>1359</v>
      </c>
      <c r="B940" s="346" t="s">
        <v>574</v>
      </c>
    </row>
    <row r="941" spans="1:2" ht="15.75">
      <c r="A941" s="270">
        <v>1361</v>
      </c>
      <c r="B941" s="261" t="s">
        <v>91</v>
      </c>
    </row>
    <row r="942" spans="1:2" ht="45.75" thickBot="1">
      <c r="A942" s="270">
        <v>1362</v>
      </c>
      <c r="B942" s="267" t="s">
        <v>1398</v>
      </c>
    </row>
    <row r="943" spans="1:2" ht="26.25" thickBot="1">
      <c r="A943" s="270">
        <v>1363</v>
      </c>
      <c r="B943" s="290" t="s">
        <v>901</v>
      </c>
    </row>
    <row r="944" spans="1:2" ht="15.75" thickBot="1">
      <c r="A944" s="270">
        <v>1364</v>
      </c>
      <c r="B944" s="291" t="s">
        <v>1845</v>
      </c>
    </row>
    <row r="945" spans="1:2" ht="15.75" thickBot="1">
      <c r="A945" s="270">
        <v>1366</v>
      </c>
      <c r="B945" s="292" t="s">
        <v>881</v>
      </c>
    </row>
    <row r="946" spans="1:2" ht="15">
      <c r="A946" s="270">
        <v>1367</v>
      </c>
      <c r="B946" s="292" t="s">
        <v>883</v>
      </c>
    </row>
    <row r="947" spans="1:2" ht="15">
      <c r="A947" s="270">
        <v>1368</v>
      </c>
      <c r="B947" s="293" t="s">
        <v>884</v>
      </c>
    </row>
    <row r="948" spans="1:2" ht="18">
      <c r="A948" s="270">
        <v>1370</v>
      </c>
      <c r="B948" s="351" t="s">
        <v>925</v>
      </c>
    </row>
    <row r="949" spans="1:2" ht="15">
      <c r="A949" s="270">
        <v>1372</v>
      </c>
      <c r="B949" s="26" t="s">
        <v>328</v>
      </c>
    </row>
    <row r="950" spans="1:2" ht="15">
      <c r="A950" s="270">
        <v>1373</v>
      </c>
      <c r="B950" s="26" t="s">
        <v>320</v>
      </c>
    </row>
    <row r="951" spans="1:2" ht="15">
      <c r="A951" s="270">
        <v>1374</v>
      </c>
      <c r="B951" s="353" t="s">
        <v>323</v>
      </c>
    </row>
    <row r="952" spans="1:2" ht="15">
      <c r="A952" s="270">
        <v>1375</v>
      </c>
      <c r="B952" s="26" t="s">
        <v>325</v>
      </c>
    </row>
    <row r="953" spans="1:2" ht="15">
      <c r="A953" s="270">
        <v>1377</v>
      </c>
      <c r="B953" s="353" t="s">
        <v>321</v>
      </c>
    </row>
    <row r="954" spans="1:2" ht="15">
      <c r="A954" s="270">
        <v>1379</v>
      </c>
      <c r="B954" s="26" t="s">
        <v>322</v>
      </c>
    </row>
    <row r="955" spans="1:2" ht="15">
      <c r="A955" s="270">
        <v>1380</v>
      </c>
      <c r="B955" s="26" t="s">
        <v>326</v>
      </c>
    </row>
    <row r="956" spans="1:2" ht="15">
      <c r="A956" s="270">
        <v>1381</v>
      </c>
      <c r="B956" s="353" t="s">
        <v>324</v>
      </c>
    </row>
    <row r="957" spans="1:2" ht="15">
      <c r="A957" s="270">
        <v>1382</v>
      </c>
      <c r="B957" s="26" t="s">
        <v>327</v>
      </c>
    </row>
    <row r="958" spans="1:2" ht="15">
      <c r="A958" s="270">
        <v>1384</v>
      </c>
      <c r="B958" s="354" t="s">
        <v>1439</v>
      </c>
    </row>
    <row r="959" spans="1:2" ht="15">
      <c r="A959" s="270">
        <v>1385</v>
      </c>
      <c r="B959" s="354" t="s">
        <v>1441</v>
      </c>
    </row>
    <row r="960" spans="1:2" ht="15">
      <c r="A960" s="270">
        <v>1386</v>
      </c>
      <c r="B960" s="354" t="s">
        <v>1440</v>
      </c>
    </row>
    <row r="961" spans="1:2" ht="15">
      <c r="A961" s="270">
        <v>1388</v>
      </c>
      <c r="B961" s="295" t="s">
        <v>611</v>
      </c>
    </row>
    <row r="962" spans="1:2" ht="15">
      <c r="A962" s="270">
        <v>1389</v>
      </c>
      <c r="B962" s="355" t="s">
        <v>582</v>
      </c>
    </row>
    <row r="963" spans="1:2" ht="15">
      <c r="A963" s="270">
        <v>1390</v>
      </c>
      <c r="B963" s="355" t="s">
        <v>583</v>
      </c>
    </row>
    <row r="964" spans="1:2" ht="15">
      <c r="A964" s="270">
        <v>1391</v>
      </c>
      <c r="B964" s="355" t="s">
        <v>584</v>
      </c>
    </row>
    <row r="965" spans="1:2" ht="15">
      <c r="A965" s="270">
        <v>1392</v>
      </c>
      <c r="B965" s="355" t="s">
        <v>585</v>
      </c>
    </row>
    <row r="966" spans="1:2" ht="25.5">
      <c r="A966" s="270">
        <v>1393</v>
      </c>
      <c r="B966" s="302" t="s">
        <v>545</v>
      </c>
    </row>
    <row r="967" spans="1:2" ht="15">
      <c r="A967" s="270">
        <v>1394</v>
      </c>
      <c r="B967" s="356" t="s">
        <v>1431</v>
      </c>
    </row>
    <row r="968" spans="1:2" ht="15">
      <c r="A968" s="270">
        <v>1395</v>
      </c>
      <c r="B968" s="357" t="s">
        <v>586</v>
      </c>
    </row>
    <row r="969" spans="1:2" ht="15">
      <c r="A969" s="270">
        <v>1396</v>
      </c>
      <c r="B969" s="357" t="s">
        <v>248</v>
      </c>
    </row>
    <row r="970" spans="1:2" ht="15">
      <c r="A970" s="270">
        <v>1397</v>
      </c>
      <c r="B970" s="358" t="s">
        <v>1279</v>
      </c>
    </row>
    <row r="971" spans="1:2" ht="22.5">
      <c r="A971" s="270">
        <v>1398</v>
      </c>
      <c r="B971" s="357" t="s">
        <v>587</v>
      </c>
    </row>
    <row r="972" spans="1:2" ht="22.5">
      <c r="A972" s="270">
        <v>1399</v>
      </c>
      <c r="B972" s="357" t="s">
        <v>588</v>
      </c>
    </row>
    <row r="973" spans="1:2" ht="21">
      <c r="A973" s="270">
        <v>1400</v>
      </c>
      <c r="B973" s="359" t="s">
        <v>1430</v>
      </c>
    </row>
    <row r="974" spans="1:2" ht="15">
      <c r="A974" s="270">
        <v>1403</v>
      </c>
      <c r="B974" s="341" t="s">
        <v>1437</v>
      </c>
    </row>
    <row r="975" spans="1:2" ht="15.75">
      <c r="A975" s="270">
        <v>1405</v>
      </c>
      <c r="B975" s="12" t="s">
        <v>1615</v>
      </c>
    </row>
    <row r="976" spans="1:2" ht="30">
      <c r="A976" s="270">
        <v>1406</v>
      </c>
      <c r="B976" s="295" t="s">
        <v>610</v>
      </c>
    </row>
    <row r="977" spans="1:2" ht="15">
      <c r="A977" s="270">
        <v>1407</v>
      </c>
      <c r="B977" s="295" t="s">
        <v>1442</v>
      </c>
    </row>
    <row r="978" spans="1:2" ht="30">
      <c r="A978" s="270">
        <v>1408</v>
      </c>
      <c r="B978" s="295" t="s">
        <v>1445</v>
      </c>
    </row>
    <row r="979" spans="1:2" ht="15">
      <c r="A979" s="270">
        <v>1409</v>
      </c>
      <c r="B979" s="318" t="s">
        <v>1443</v>
      </c>
    </row>
    <row r="980" spans="1:2" ht="15">
      <c r="A980" s="270">
        <v>1410</v>
      </c>
      <c r="B980" s="322" t="s">
        <v>1444</v>
      </c>
    </row>
    <row r="981" spans="1:2" ht="15">
      <c r="A981" s="270">
        <v>1411</v>
      </c>
      <c r="B981" s="295" t="s">
        <v>1446</v>
      </c>
    </row>
    <row r="982" spans="1:2" ht="15">
      <c r="A982" s="270">
        <v>1412</v>
      </c>
      <c r="B982" s="295" t="s">
        <v>1447</v>
      </c>
    </row>
    <row r="983" spans="1:2" ht="15">
      <c r="A983" s="270">
        <v>1413</v>
      </c>
      <c r="B983" s="309" t="s">
        <v>1448</v>
      </c>
    </row>
    <row r="984" spans="1:2" ht="15">
      <c r="A984" s="270">
        <v>1414</v>
      </c>
      <c r="B984" s="360" t="s">
        <v>1449</v>
      </c>
    </row>
    <row r="985" spans="1:2" ht="15.75">
      <c r="A985" s="270">
        <v>1421</v>
      </c>
      <c r="B985" s="12" t="s">
        <v>882</v>
      </c>
    </row>
    <row r="986" spans="1:2" ht="33.75">
      <c r="A986" s="270">
        <v>1422</v>
      </c>
      <c r="B986" s="254" t="s">
        <v>304</v>
      </c>
    </row>
    <row r="987" spans="1:2" ht="15">
      <c r="A987" s="270">
        <v>1423</v>
      </c>
      <c r="B987" s="361" t="s">
        <v>373</v>
      </c>
    </row>
    <row r="988" spans="1:2" ht="15">
      <c r="A988" s="270">
        <v>1424</v>
      </c>
      <c r="B988" s="362" t="s">
        <v>374</v>
      </c>
    </row>
    <row r="989" spans="1:2" ht="22.5">
      <c r="A989" s="270">
        <v>1425</v>
      </c>
      <c r="B989" s="363" t="s">
        <v>375</v>
      </c>
    </row>
    <row r="990" spans="1:2" ht="15">
      <c r="A990" s="270">
        <v>1426</v>
      </c>
      <c r="B990" s="362" t="s">
        <v>1899</v>
      </c>
    </row>
    <row r="991" spans="1:2" ht="15">
      <c r="A991" s="270">
        <v>1427</v>
      </c>
      <c r="B991" s="363" t="s">
        <v>376</v>
      </c>
    </row>
    <row r="992" spans="1:2" ht="15">
      <c r="A992" s="270">
        <v>1428</v>
      </c>
      <c r="B992" s="362" t="s">
        <v>1846</v>
      </c>
    </row>
    <row r="993" spans="1:2" ht="15">
      <c r="A993" s="270">
        <v>1429</v>
      </c>
      <c r="B993" s="363" t="s">
        <v>377</v>
      </c>
    </row>
    <row r="994" spans="1:2" ht="15">
      <c r="A994" s="270">
        <v>1432</v>
      </c>
      <c r="B994" s="363" t="s">
        <v>664</v>
      </c>
    </row>
    <row r="995" spans="1:2" ht="22.5">
      <c r="A995" s="270">
        <v>1442</v>
      </c>
      <c r="B995" s="363" t="s">
        <v>1539</v>
      </c>
    </row>
    <row r="996" spans="1:2" ht="22.5">
      <c r="A996" s="270">
        <v>1443</v>
      </c>
      <c r="B996" s="363" t="s">
        <v>1540</v>
      </c>
    </row>
    <row r="997" spans="1:2" ht="15">
      <c r="A997" s="270">
        <v>1444</v>
      </c>
      <c r="B997" s="362" t="s">
        <v>1847</v>
      </c>
    </row>
    <row r="998" spans="1:2" ht="22.5">
      <c r="A998" s="270">
        <v>1445</v>
      </c>
      <c r="B998" s="363" t="s">
        <v>1542</v>
      </c>
    </row>
    <row r="999" spans="1:2" ht="22.5">
      <c r="A999" s="270">
        <v>1446</v>
      </c>
      <c r="B999" s="363" t="s">
        <v>1541</v>
      </c>
    </row>
    <row r="1000" spans="1:2" ht="22.5">
      <c r="A1000" s="270">
        <v>1447</v>
      </c>
      <c r="B1000" s="363" t="s">
        <v>1543</v>
      </c>
    </row>
    <row r="1001" spans="1:2" ht="15">
      <c r="A1001" s="270">
        <v>1451</v>
      </c>
      <c r="B1001" s="211" t="s">
        <v>305</v>
      </c>
    </row>
    <row r="1002" spans="1:2" ht="15">
      <c r="A1002" s="270">
        <v>1452</v>
      </c>
      <c r="B1002" s="210" t="s">
        <v>309</v>
      </c>
    </row>
    <row r="1003" spans="1:2" ht="15">
      <c r="A1003" s="270">
        <v>1453</v>
      </c>
      <c r="B1003" s="213" t="s">
        <v>842</v>
      </c>
    </row>
    <row r="1004" spans="1:2" ht="15.75" thickBot="1">
      <c r="A1004" s="270">
        <v>1472</v>
      </c>
      <c r="B1004" s="211" t="s">
        <v>1702</v>
      </c>
    </row>
    <row r="1005" spans="1:2" ht="15.75" thickBot="1">
      <c r="A1005" s="270">
        <v>1475</v>
      </c>
      <c r="B1005" s="268" t="s">
        <v>1703</v>
      </c>
    </row>
    <row r="1006" spans="1:2" ht="15">
      <c r="A1006" s="270">
        <v>1477</v>
      </c>
      <c r="B1006" s="360" t="s">
        <v>1895</v>
      </c>
    </row>
    <row r="1007" spans="1:2" ht="15.75" thickBot="1">
      <c r="A1007" s="270">
        <v>1479</v>
      </c>
      <c r="B1007" s="211" t="s">
        <v>1701</v>
      </c>
    </row>
    <row r="1008" spans="1:2" ht="26.25" thickBot="1">
      <c r="A1008" s="270">
        <v>1486</v>
      </c>
      <c r="B1008" s="364" t="s">
        <v>1768</v>
      </c>
    </row>
    <row r="1009" spans="1:3" ht="15">
      <c r="A1009" s="270">
        <v>1505</v>
      </c>
      <c r="B1009" s="249" t="s">
        <v>849</v>
      </c>
      <c r="C1009" s="271"/>
    </row>
    <row r="1010" spans="1:2" ht="15">
      <c r="A1010" s="471">
        <v>1506</v>
      </c>
      <c r="B1010" s="159" t="str">
        <f>B1489</f>
        <v>Croatia</v>
      </c>
    </row>
    <row r="1011" spans="1:2" ht="15">
      <c r="A1011" s="471">
        <v>1507</v>
      </c>
      <c r="B1011" s="370" t="str">
        <f>B1490</f>
        <v>The operator of this installation confirms that the installation is not eligible for free allocation under Article 10a of the EU ETS Directive.</v>
      </c>
    </row>
    <row r="1012" spans="1:2" ht="15">
      <c r="A1012" s="471">
        <v>1508</v>
      </c>
      <c r="B1012" s="370" t="str">
        <f>B1491</f>
        <v>The operator of this installation confirms that an application for a change of the amount of free allocation under Article 10a of the EU ETS Directive is hereby filed.</v>
      </c>
    </row>
    <row r="1013" spans="1:6" s="469" customFormat="1" ht="15">
      <c r="A1013" s="471" t="s">
        <v>151</v>
      </c>
      <c r="B1013" s="472"/>
      <c r="C1013" s="473"/>
      <c r="D1013" s="473"/>
      <c r="E1013" s="473"/>
      <c r="F1013" s="473"/>
    </row>
    <row r="1014" spans="1:2" ht="52.5">
      <c r="A1014" s="470">
        <v>2000</v>
      </c>
      <c r="B1014" s="449" t="s">
        <v>346</v>
      </c>
    </row>
    <row r="1015" spans="1:2" ht="51">
      <c r="A1015" s="470">
        <v>2001</v>
      </c>
      <c r="B1015" s="249" t="s">
        <v>1640</v>
      </c>
    </row>
    <row r="1016" spans="1:2" ht="25.5">
      <c r="A1016" s="470">
        <v>2002</v>
      </c>
      <c r="B1016" s="249" t="s">
        <v>347</v>
      </c>
    </row>
    <row r="1017" spans="1:2" ht="15">
      <c r="A1017" s="470">
        <v>2003</v>
      </c>
      <c r="B1017" s="247" t="s">
        <v>1641</v>
      </c>
    </row>
    <row r="1018" spans="1:2" ht="38.25">
      <c r="A1018" s="470">
        <v>2004</v>
      </c>
      <c r="B1018" s="249" t="s">
        <v>1642</v>
      </c>
    </row>
    <row r="1019" spans="1:2" ht="25.5">
      <c r="A1019" s="470">
        <v>2005</v>
      </c>
      <c r="B1019" s="249" t="s">
        <v>121</v>
      </c>
    </row>
    <row r="1020" spans="1:2" ht="76.5">
      <c r="A1020" s="470">
        <v>2006</v>
      </c>
      <c r="B1020" s="249" t="s">
        <v>153</v>
      </c>
    </row>
    <row r="1021" spans="1:2" ht="51">
      <c r="A1021" s="470">
        <v>2007</v>
      </c>
      <c r="B1021" s="249" t="s">
        <v>1643</v>
      </c>
    </row>
    <row r="1022" spans="1:2" ht="54">
      <c r="A1022" s="470">
        <v>2008</v>
      </c>
      <c r="B1022" s="244" t="s">
        <v>2053</v>
      </c>
    </row>
    <row r="1023" spans="1:2" ht="38.25">
      <c r="A1023" s="470">
        <v>2009</v>
      </c>
      <c r="B1023" s="249" t="s">
        <v>1644</v>
      </c>
    </row>
    <row r="1024" spans="1:2" ht="25.5">
      <c r="A1024" s="470">
        <v>2010</v>
      </c>
      <c r="B1024" s="297" t="s">
        <v>1720</v>
      </c>
    </row>
    <row r="1025" spans="1:2" ht="15">
      <c r="A1025" s="470">
        <v>2011</v>
      </c>
      <c r="B1025" s="260" t="s">
        <v>1719</v>
      </c>
    </row>
    <row r="1026" spans="1:2" ht="15">
      <c r="A1026" s="470">
        <v>2012</v>
      </c>
      <c r="B1026" s="294" t="s">
        <v>730</v>
      </c>
    </row>
    <row r="1027" spans="1:2" ht="15">
      <c r="A1027" s="470">
        <v>2013</v>
      </c>
      <c r="B1027" s="294" t="s">
        <v>659</v>
      </c>
    </row>
    <row r="1028" spans="1:2" ht="15">
      <c r="A1028" s="470">
        <v>2014</v>
      </c>
      <c r="B1028" s="294" t="s">
        <v>75</v>
      </c>
    </row>
    <row r="1029" spans="1:2" ht="15">
      <c r="A1029" s="470">
        <v>2015</v>
      </c>
      <c r="B1029" s="450" t="s">
        <v>115</v>
      </c>
    </row>
    <row r="1030" spans="1:2" ht="15">
      <c r="A1030" s="470">
        <v>2016</v>
      </c>
      <c r="B1030" s="294" t="s">
        <v>1928</v>
      </c>
    </row>
    <row r="1031" spans="1:2" ht="36">
      <c r="A1031" s="470">
        <v>2017</v>
      </c>
      <c r="B1031" s="283" t="s">
        <v>339</v>
      </c>
    </row>
    <row r="1032" spans="1:2" ht="22.5">
      <c r="A1032" s="470">
        <v>2018</v>
      </c>
      <c r="B1032" s="254" t="s">
        <v>341</v>
      </c>
    </row>
    <row r="1033" spans="1:2" ht="22.5">
      <c r="A1033" s="470">
        <v>2019</v>
      </c>
      <c r="B1033" s="254" t="s">
        <v>342</v>
      </c>
    </row>
    <row r="1034" spans="1:2" ht="22.5">
      <c r="A1034" s="470">
        <v>2020</v>
      </c>
      <c r="B1034" s="254" t="s">
        <v>343</v>
      </c>
    </row>
    <row r="1035" spans="1:2" ht="22.5">
      <c r="A1035" s="470">
        <v>2021</v>
      </c>
      <c r="B1035" s="254" t="s">
        <v>136</v>
      </c>
    </row>
    <row r="1036" spans="1:2" ht="15.75">
      <c r="A1036" s="470">
        <v>2022</v>
      </c>
      <c r="B1036" s="261" t="s">
        <v>691</v>
      </c>
    </row>
    <row r="1037" spans="1:2" ht="15">
      <c r="A1037" s="470">
        <v>2023</v>
      </c>
      <c r="B1037" s="451" t="s">
        <v>1495</v>
      </c>
    </row>
    <row r="1038" spans="1:2" ht="25.5">
      <c r="A1038" s="470">
        <v>2024</v>
      </c>
      <c r="B1038" s="281" t="s">
        <v>348</v>
      </c>
    </row>
    <row r="1039" spans="1:2" ht="45">
      <c r="A1039" s="470">
        <v>2025</v>
      </c>
      <c r="B1039" s="352" t="s">
        <v>123</v>
      </c>
    </row>
    <row r="1040" spans="1:2" ht="15">
      <c r="A1040" s="470">
        <v>2026</v>
      </c>
      <c r="B1040" s="281" t="s">
        <v>42</v>
      </c>
    </row>
    <row r="1041" spans="1:2" ht="33.75">
      <c r="A1041" s="470">
        <v>2027</v>
      </c>
      <c r="B1041" s="352" t="s">
        <v>349</v>
      </c>
    </row>
    <row r="1042" spans="1:2" ht="15">
      <c r="A1042" s="470">
        <v>2028</v>
      </c>
      <c r="B1042" s="452" t="s">
        <v>728</v>
      </c>
    </row>
    <row r="1043" spans="1:2" ht="15">
      <c r="A1043" s="470">
        <v>2029</v>
      </c>
      <c r="B1043" s="281" t="s">
        <v>726</v>
      </c>
    </row>
    <row r="1044" spans="1:2" ht="15">
      <c r="A1044" s="470">
        <v>2030</v>
      </c>
      <c r="B1044" s="452" t="s">
        <v>725</v>
      </c>
    </row>
    <row r="1045" spans="1:2" ht="15">
      <c r="A1045" s="470">
        <v>2031</v>
      </c>
      <c r="B1045" s="352" t="s">
        <v>1854</v>
      </c>
    </row>
    <row r="1046" spans="1:2" ht="22.5">
      <c r="A1046" s="470">
        <v>2032</v>
      </c>
      <c r="B1046" s="352" t="s">
        <v>122</v>
      </c>
    </row>
    <row r="1047" spans="1:2" ht="22.5">
      <c r="A1047" s="470">
        <v>2033</v>
      </c>
      <c r="B1047" s="352" t="s">
        <v>1855</v>
      </c>
    </row>
    <row r="1048" spans="1:2" ht="15">
      <c r="A1048" s="470">
        <v>2034</v>
      </c>
      <c r="B1048" s="452" t="s">
        <v>727</v>
      </c>
    </row>
    <row r="1049" spans="1:2" ht="15">
      <c r="A1049" s="470">
        <v>2035</v>
      </c>
      <c r="B1049" s="302" t="s">
        <v>731</v>
      </c>
    </row>
    <row r="1050" spans="1:2" ht="22.5">
      <c r="A1050" s="470">
        <v>2036</v>
      </c>
      <c r="B1050" s="352" t="s">
        <v>732</v>
      </c>
    </row>
    <row r="1051" spans="1:2" ht="31.5">
      <c r="A1051" s="470">
        <v>2037</v>
      </c>
      <c r="B1051" s="255" t="s">
        <v>692</v>
      </c>
    </row>
    <row r="1052" spans="1:2" ht="21">
      <c r="A1052" s="470">
        <v>2038</v>
      </c>
      <c r="B1052" s="255" t="s">
        <v>1873</v>
      </c>
    </row>
    <row r="1053" spans="1:2" ht="63.75">
      <c r="A1053" s="470">
        <v>2039</v>
      </c>
      <c r="B1053" s="256" t="s">
        <v>695</v>
      </c>
    </row>
    <row r="1054" spans="1:2" ht="15">
      <c r="A1054" s="470">
        <v>2040</v>
      </c>
      <c r="B1054" s="295" t="s">
        <v>689</v>
      </c>
    </row>
    <row r="1055" spans="1:2" ht="45">
      <c r="A1055" s="470">
        <v>2041</v>
      </c>
      <c r="B1055" s="254" t="s">
        <v>724</v>
      </c>
    </row>
    <row r="1056" spans="1:2" ht="15">
      <c r="A1056" s="470">
        <v>2042</v>
      </c>
      <c r="B1056" s="302" t="s">
        <v>690</v>
      </c>
    </row>
    <row r="1057" spans="1:2" ht="22.5">
      <c r="A1057" s="470">
        <v>2043</v>
      </c>
      <c r="B1057" s="254" t="s">
        <v>1937</v>
      </c>
    </row>
    <row r="1058" spans="1:2" ht="22.5">
      <c r="A1058" s="470">
        <v>2044</v>
      </c>
      <c r="B1058" s="254" t="s">
        <v>660</v>
      </c>
    </row>
    <row r="1059" spans="1:2" ht="22.5">
      <c r="A1059" s="470">
        <v>2045</v>
      </c>
      <c r="B1059" s="254" t="s">
        <v>330</v>
      </c>
    </row>
    <row r="1060" spans="1:2" ht="15">
      <c r="A1060" s="470">
        <v>2046</v>
      </c>
      <c r="B1060" s="254" t="s">
        <v>331</v>
      </c>
    </row>
    <row r="1061" spans="1:2" ht="15">
      <c r="A1061" s="470">
        <v>2047</v>
      </c>
      <c r="B1061" s="254" t="s">
        <v>332</v>
      </c>
    </row>
    <row r="1062" spans="1:2" ht="22.5">
      <c r="A1062" s="470">
        <v>2048</v>
      </c>
      <c r="B1062" s="254" t="s">
        <v>333</v>
      </c>
    </row>
    <row r="1063" spans="1:2" ht="78.75">
      <c r="A1063" s="470">
        <v>2049</v>
      </c>
      <c r="B1063" s="254" t="s">
        <v>1932</v>
      </c>
    </row>
    <row r="1064" spans="1:2" ht="33.75">
      <c r="A1064" s="470">
        <v>2050</v>
      </c>
      <c r="B1064" s="254" t="s">
        <v>1933</v>
      </c>
    </row>
    <row r="1065" spans="1:2" ht="45">
      <c r="A1065" s="470">
        <v>2051</v>
      </c>
      <c r="B1065" s="254" t="s">
        <v>1934</v>
      </c>
    </row>
    <row r="1066" spans="1:2" ht="15">
      <c r="A1066" s="470">
        <v>2052</v>
      </c>
      <c r="B1066" s="281" t="s">
        <v>334</v>
      </c>
    </row>
    <row r="1067" spans="1:2" ht="15">
      <c r="A1067" s="470">
        <v>2053</v>
      </c>
      <c r="B1067" s="281" t="s">
        <v>335</v>
      </c>
    </row>
    <row r="1068" spans="1:2" ht="22.5">
      <c r="A1068" s="470">
        <v>2054</v>
      </c>
      <c r="B1068" s="254" t="s">
        <v>124</v>
      </c>
    </row>
    <row r="1069" spans="1:2" ht="15">
      <c r="A1069" s="470">
        <v>2055</v>
      </c>
      <c r="B1069" s="281" t="s">
        <v>336</v>
      </c>
    </row>
    <row r="1070" spans="1:2" ht="22.5">
      <c r="A1070" s="470">
        <v>2056</v>
      </c>
      <c r="B1070" s="254" t="s">
        <v>370</v>
      </c>
    </row>
    <row r="1071" spans="1:2" ht="22.5">
      <c r="A1071" s="470">
        <v>2057</v>
      </c>
      <c r="B1071" s="254" t="s">
        <v>670</v>
      </c>
    </row>
    <row r="1072" spans="1:2" ht="15">
      <c r="A1072" s="470">
        <v>2058</v>
      </c>
      <c r="B1072" s="355" t="s">
        <v>1936</v>
      </c>
    </row>
    <row r="1073" spans="1:2" ht="15">
      <c r="A1073" s="470">
        <v>2059</v>
      </c>
      <c r="B1073" s="254" t="s">
        <v>1375</v>
      </c>
    </row>
    <row r="1074" spans="1:2" ht="15">
      <c r="A1074" s="470">
        <v>2060</v>
      </c>
      <c r="B1074" s="281" t="s">
        <v>667</v>
      </c>
    </row>
    <row r="1075" spans="1:2" ht="51">
      <c r="A1075" s="470">
        <v>2061</v>
      </c>
      <c r="B1075" s="440" t="s">
        <v>668</v>
      </c>
    </row>
    <row r="1076" spans="1:2" ht="38.25">
      <c r="A1076" s="470">
        <v>2062</v>
      </c>
      <c r="B1076" s="256" t="s">
        <v>1856</v>
      </c>
    </row>
    <row r="1077" spans="1:2" ht="51">
      <c r="A1077" s="470">
        <v>2063</v>
      </c>
      <c r="B1077" s="256" t="s">
        <v>137</v>
      </c>
    </row>
    <row r="1078" spans="1:2" ht="31.5">
      <c r="A1078" s="470">
        <v>2064</v>
      </c>
      <c r="B1078" s="255" t="s">
        <v>1562</v>
      </c>
    </row>
    <row r="1079" spans="1:2" ht="15">
      <c r="A1079" s="470">
        <v>2065</v>
      </c>
      <c r="B1079" s="255" t="s">
        <v>1563</v>
      </c>
    </row>
    <row r="1080" spans="1:2" ht="21">
      <c r="A1080" s="470">
        <v>2066</v>
      </c>
      <c r="B1080" s="255" t="s">
        <v>1567</v>
      </c>
    </row>
    <row r="1081" spans="1:2" ht="21">
      <c r="A1081" s="470">
        <v>2067</v>
      </c>
      <c r="B1081" s="255" t="s">
        <v>1568</v>
      </c>
    </row>
    <row r="1082" spans="1:2" ht="21">
      <c r="A1082" s="470">
        <v>2068</v>
      </c>
      <c r="B1082" s="255" t="s">
        <v>1569</v>
      </c>
    </row>
    <row r="1083" spans="1:2" ht="21">
      <c r="A1083" s="470">
        <v>2069</v>
      </c>
      <c r="B1083" s="255" t="s">
        <v>125</v>
      </c>
    </row>
    <row r="1084" spans="1:2" ht="15">
      <c r="A1084" s="470">
        <v>2070</v>
      </c>
      <c r="B1084" s="295" t="s">
        <v>644</v>
      </c>
    </row>
    <row r="1085" spans="1:2" ht="45">
      <c r="A1085" s="470">
        <v>2071</v>
      </c>
      <c r="B1085" s="254" t="s">
        <v>1938</v>
      </c>
    </row>
    <row r="1086" spans="1:2" ht="78.75">
      <c r="A1086" s="470">
        <v>2072</v>
      </c>
      <c r="B1086" s="254" t="s">
        <v>1939</v>
      </c>
    </row>
    <row r="1087" spans="1:2" ht="21">
      <c r="A1087" s="470">
        <v>2073</v>
      </c>
      <c r="B1087" s="255" t="s">
        <v>1571</v>
      </c>
    </row>
    <row r="1088" spans="1:2" ht="15">
      <c r="A1088" s="470">
        <v>2074</v>
      </c>
      <c r="B1088" s="295" t="s">
        <v>1866</v>
      </c>
    </row>
    <row r="1089" spans="1:2" ht="15">
      <c r="A1089" s="470">
        <v>2075</v>
      </c>
      <c r="B1089" s="254" t="s">
        <v>960</v>
      </c>
    </row>
    <row r="1090" spans="1:2" ht="22.5">
      <c r="A1090" s="470">
        <v>2076</v>
      </c>
      <c r="B1090" s="254" t="s">
        <v>589</v>
      </c>
    </row>
    <row r="1091" spans="1:2" ht="22.5">
      <c r="A1091" s="470">
        <v>2077</v>
      </c>
      <c r="B1091" s="254" t="s">
        <v>652</v>
      </c>
    </row>
    <row r="1092" spans="1:2" ht="22.5">
      <c r="A1092" s="470">
        <v>2078</v>
      </c>
      <c r="B1092" s="254" t="s">
        <v>653</v>
      </c>
    </row>
    <row r="1093" spans="1:2" ht="21">
      <c r="A1093" s="470">
        <v>2079</v>
      </c>
      <c r="B1093" s="255" t="s">
        <v>1739</v>
      </c>
    </row>
    <row r="1094" spans="1:2" ht="33.75">
      <c r="A1094" s="470">
        <v>2080</v>
      </c>
      <c r="B1094" s="254" t="s">
        <v>1280</v>
      </c>
    </row>
    <row r="1095" spans="1:2" ht="22.5">
      <c r="A1095" s="470">
        <v>2081</v>
      </c>
      <c r="B1095" s="254" t="s">
        <v>465</v>
      </c>
    </row>
    <row r="1096" spans="1:2" ht="15">
      <c r="A1096" s="470">
        <v>2082</v>
      </c>
      <c r="B1096" s="254" t="s">
        <v>466</v>
      </c>
    </row>
    <row r="1097" spans="1:2" ht="15">
      <c r="A1097" s="470">
        <v>2083</v>
      </c>
      <c r="B1097" s="254" t="s">
        <v>467</v>
      </c>
    </row>
    <row r="1098" spans="1:2" ht="15">
      <c r="A1098" s="470">
        <v>2084</v>
      </c>
      <c r="B1098" s="254" t="s">
        <v>468</v>
      </c>
    </row>
    <row r="1099" spans="1:2" ht="15">
      <c r="A1099" s="470">
        <v>2085</v>
      </c>
      <c r="B1099" s="254" t="s">
        <v>469</v>
      </c>
    </row>
    <row r="1100" spans="1:2" ht="45">
      <c r="A1100" s="470">
        <v>2086</v>
      </c>
      <c r="B1100" s="254" t="s">
        <v>470</v>
      </c>
    </row>
    <row r="1101" spans="1:2" ht="15">
      <c r="A1101" s="470">
        <v>2087</v>
      </c>
      <c r="B1101" s="311" t="s">
        <v>46</v>
      </c>
    </row>
    <row r="1102" spans="1:2" ht="15">
      <c r="A1102" s="470">
        <v>2088</v>
      </c>
      <c r="B1102" s="439" t="s">
        <v>45</v>
      </c>
    </row>
    <row r="1103" spans="1:2" ht="15">
      <c r="A1103" s="470">
        <v>2089</v>
      </c>
      <c r="B1103" s="439" t="s">
        <v>18</v>
      </c>
    </row>
    <row r="1104" spans="1:2" ht="30">
      <c r="A1104" s="470">
        <v>2090</v>
      </c>
      <c r="B1104" s="295" t="s">
        <v>1570</v>
      </c>
    </row>
    <row r="1105" spans="1:2" ht="33.75">
      <c r="A1105" s="470">
        <v>2091</v>
      </c>
      <c r="B1105" s="254" t="s">
        <v>1014</v>
      </c>
    </row>
    <row r="1106" spans="1:2" ht="15">
      <c r="A1106" s="470">
        <v>2092</v>
      </c>
      <c r="B1106" s="254" t="s">
        <v>471</v>
      </c>
    </row>
    <row r="1107" spans="1:2" ht="56.25">
      <c r="A1107" s="470">
        <v>2093</v>
      </c>
      <c r="B1107" s="254" t="s">
        <v>472</v>
      </c>
    </row>
    <row r="1108" spans="1:2" ht="22.5">
      <c r="A1108" s="470">
        <v>2094</v>
      </c>
      <c r="B1108" s="254" t="s">
        <v>1012</v>
      </c>
    </row>
    <row r="1109" spans="1:2" ht="22.5">
      <c r="A1109" s="470">
        <v>2095</v>
      </c>
      <c r="B1109" s="254" t="s">
        <v>473</v>
      </c>
    </row>
    <row r="1110" spans="1:2" ht="31.5">
      <c r="A1110" s="470">
        <v>2096</v>
      </c>
      <c r="B1110" s="255" t="s">
        <v>1013</v>
      </c>
    </row>
    <row r="1111" spans="1:2" ht="30">
      <c r="A1111" s="470">
        <v>2097</v>
      </c>
      <c r="B1111" s="295" t="s">
        <v>1647</v>
      </c>
    </row>
    <row r="1112" spans="1:2" ht="22.5">
      <c r="A1112" s="470">
        <v>2098</v>
      </c>
      <c r="B1112" s="254" t="s">
        <v>1564</v>
      </c>
    </row>
    <row r="1113" spans="1:2" ht="22.5">
      <c r="A1113" s="470">
        <v>2099</v>
      </c>
      <c r="B1113" s="254" t="s">
        <v>138</v>
      </c>
    </row>
    <row r="1114" spans="1:2" ht="22.5">
      <c r="A1114" s="470">
        <v>2100</v>
      </c>
      <c r="B1114" s="254" t="s">
        <v>1016</v>
      </c>
    </row>
    <row r="1115" spans="1:2" ht="21">
      <c r="A1115" s="470">
        <v>2101</v>
      </c>
      <c r="B1115" s="255" t="s">
        <v>1015</v>
      </c>
    </row>
    <row r="1116" spans="1:2" ht="15.75">
      <c r="A1116" s="470">
        <v>2102</v>
      </c>
      <c r="B1116" s="261" t="s">
        <v>1017</v>
      </c>
    </row>
    <row r="1117" spans="1:2" ht="15">
      <c r="A1117" s="470">
        <v>2103</v>
      </c>
      <c r="B1117" s="295" t="s">
        <v>1018</v>
      </c>
    </row>
    <row r="1118" spans="1:2" ht="33.75">
      <c r="A1118" s="470">
        <v>2104</v>
      </c>
      <c r="B1118" s="254" t="s">
        <v>495</v>
      </c>
    </row>
    <row r="1119" spans="1:2" ht="22.5">
      <c r="A1119" s="470">
        <v>2105</v>
      </c>
      <c r="B1119" s="254" t="s">
        <v>139</v>
      </c>
    </row>
    <row r="1120" spans="1:2" ht="33.75">
      <c r="A1120" s="470">
        <v>2106</v>
      </c>
      <c r="B1120" s="254" t="s">
        <v>1282</v>
      </c>
    </row>
    <row r="1121" spans="1:2" ht="33.75">
      <c r="A1121" s="470">
        <v>2107</v>
      </c>
      <c r="B1121" s="254" t="s">
        <v>494</v>
      </c>
    </row>
    <row r="1122" spans="1:2" ht="15">
      <c r="A1122" s="470">
        <v>2108</v>
      </c>
      <c r="B1122" s="254" t="s">
        <v>1283</v>
      </c>
    </row>
    <row r="1123" spans="1:2" ht="33.75">
      <c r="A1123" s="470">
        <v>2109</v>
      </c>
      <c r="B1123" s="254" t="s">
        <v>1019</v>
      </c>
    </row>
    <row r="1124" spans="1:2" ht="25.5">
      <c r="A1124" s="470">
        <v>2110</v>
      </c>
      <c r="B1124" s="259" t="s">
        <v>1284</v>
      </c>
    </row>
    <row r="1125" spans="1:2" ht="15">
      <c r="A1125" s="470">
        <v>2111</v>
      </c>
      <c r="B1125" s="453" t="s">
        <v>964</v>
      </c>
    </row>
    <row r="1126" spans="1:2" ht="22.5">
      <c r="A1126" s="470">
        <v>2112</v>
      </c>
      <c r="B1126" s="254" t="s">
        <v>1725</v>
      </c>
    </row>
    <row r="1127" spans="1:2" ht="15">
      <c r="A1127" s="470">
        <v>2113</v>
      </c>
      <c r="B1127" s="255" t="s">
        <v>1726</v>
      </c>
    </row>
    <row r="1128" spans="1:2" ht="33.75">
      <c r="A1128" s="470">
        <v>2114</v>
      </c>
      <c r="B1128" s="254" t="s">
        <v>1718</v>
      </c>
    </row>
    <row r="1129" spans="1:2" ht="15">
      <c r="A1129" s="470">
        <v>2115</v>
      </c>
      <c r="B1129" s="258" t="s">
        <v>1727</v>
      </c>
    </row>
    <row r="1130" spans="1:2" ht="22.5">
      <c r="A1130" s="470">
        <v>2116</v>
      </c>
      <c r="B1130" s="254" t="s">
        <v>1728</v>
      </c>
    </row>
    <row r="1131" spans="1:2" ht="22.5">
      <c r="A1131" s="470">
        <v>2117</v>
      </c>
      <c r="B1131" s="254" t="s">
        <v>1729</v>
      </c>
    </row>
    <row r="1132" spans="1:2" ht="22.5">
      <c r="A1132" s="470">
        <v>2118</v>
      </c>
      <c r="B1132" s="254" t="s">
        <v>293</v>
      </c>
    </row>
    <row r="1133" spans="1:2" ht="33.75">
      <c r="A1133" s="470">
        <v>2119</v>
      </c>
      <c r="B1133" s="254" t="s">
        <v>1134</v>
      </c>
    </row>
    <row r="1134" spans="1:2" ht="22.5">
      <c r="A1134" s="470">
        <v>2120</v>
      </c>
      <c r="B1134" s="254" t="s">
        <v>837</v>
      </c>
    </row>
    <row r="1135" spans="1:2" ht="21">
      <c r="A1135" s="470">
        <v>2121</v>
      </c>
      <c r="B1135" s="255" t="s">
        <v>1721</v>
      </c>
    </row>
    <row r="1136" spans="1:2" ht="15">
      <c r="A1136" s="470">
        <v>2122</v>
      </c>
      <c r="B1136" s="454" t="s">
        <v>1776</v>
      </c>
    </row>
    <row r="1137" spans="1:2" ht="15">
      <c r="A1137" s="470">
        <v>2123</v>
      </c>
      <c r="B1137" s="343" t="s">
        <v>838</v>
      </c>
    </row>
    <row r="1138" spans="1:2" ht="15">
      <c r="A1138" s="470">
        <v>2124</v>
      </c>
      <c r="B1138" s="311" t="s">
        <v>16</v>
      </c>
    </row>
    <row r="1139" spans="1:2" ht="15.75">
      <c r="A1139" s="470">
        <v>2125</v>
      </c>
      <c r="B1139" s="455" t="s">
        <v>612</v>
      </c>
    </row>
    <row r="1140" spans="1:2" ht="22.5">
      <c r="A1140" s="470">
        <v>2126</v>
      </c>
      <c r="B1140" s="254" t="s">
        <v>1621</v>
      </c>
    </row>
    <row r="1141" spans="1:2" ht="33.75">
      <c r="A1141" s="470">
        <v>2127</v>
      </c>
      <c r="B1141" s="254" t="s">
        <v>1722</v>
      </c>
    </row>
    <row r="1142" spans="1:2" ht="33.75">
      <c r="A1142" s="470">
        <v>2128</v>
      </c>
      <c r="B1142" s="254" t="s">
        <v>1723</v>
      </c>
    </row>
    <row r="1143" spans="1:2" ht="22.5">
      <c r="A1143" s="470">
        <v>2129</v>
      </c>
      <c r="B1143" s="254" t="s">
        <v>1724</v>
      </c>
    </row>
    <row r="1144" spans="1:2" ht="22.5">
      <c r="A1144" s="470">
        <v>2130</v>
      </c>
      <c r="B1144" s="254" t="s">
        <v>1193</v>
      </c>
    </row>
    <row r="1145" spans="1:2" ht="22.5">
      <c r="A1145" s="470">
        <v>2131</v>
      </c>
      <c r="B1145" s="254" t="s">
        <v>1194</v>
      </c>
    </row>
    <row r="1146" spans="1:2" ht="22.5">
      <c r="A1146" s="470">
        <v>2132</v>
      </c>
      <c r="B1146" s="254" t="s">
        <v>1195</v>
      </c>
    </row>
    <row r="1147" spans="1:2" ht="33.75">
      <c r="A1147" s="470">
        <v>2133</v>
      </c>
      <c r="B1147" s="254" t="s">
        <v>1733</v>
      </c>
    </row>
    <row r="1148" spans="1:2" ht="22.5">
      <c r="A1148" s="470">
        <v>2134</v>
      </c>
      <c r="B1148" s="254" t="s">
        <v>1192</v>
      </c>
    </row>
    <row r="1149" spans="1:2" ht="15">
      <c r="A1149" s="470">
        <v>2135</v>
      </c>
      <c r="B1149" s="254" t="s">
        <v>655</v>
      </c>
    </row>
    <row r="1150" spans="1:2" ht="22.5">
      <c r="A1150" s="470">
        <v>2136</v>
      </c>
      <c r="B1150" s="254" t="s">
        <v>1191</v>
      </c>
    </row>
    <row r="1151" spans="1:2" ht="15">
      <c r="A1151" s="470">
        <v>2137</v>
      </c>
      <c r="B1151" s="255" t="s">
        <v>1734</v>
      </c>
    </row>
    <row r="1152" spans="1:2" ht="52.5">
      <c r="A1152" s="470">
        <v>2138</v>
      </c>
      <c r="B1152" s="255" t="s">
        <v>140</v>
      </c>
    </row>
    <row r="1153" spans="1:2" ht="22.5">
      <c r="A1153" s="470">
        <v>2139</v>
      </c>
      <c r="B1153" s="254" t="s">
        <v>1550</v>
      </c>
    </row>
    <row r="1154" spans="1:2" ht="15">
      <c r="A1154" s="470">
        <v>2140</v>
      </c>
      <c r="B1154" s="254" t="s">
        <v>106</v>
      </c>
    </row>
    <row r="1155" spans="1:2" ht="22.5">
      <c r="A1155" s="470">
        <v>2141</v>
      </c>
      <c r="B1155" s="254" t="s">
        <v>1551</v>
      </c>
    </row>
    <row r="1156" spans="1:2" ht="22.5">
      <c r="A1156" s="470">
        <v>2142</v>
      </c>
      <c r="B1156" s="254" t="s">
        <v>105</v>
      </c>
    </row>
    <row r="1157" spans="1:2" ht="33.75">
      <c r="A1157" s="470">
        <v>2143</v>
      </c>
      <c r="B1157" s="254" t="s">
        <v>141</v>
      </c>
    </row>
    <row r="1158" spans="1:2" ht="21">
      <c r="A1158" s="470">
        <v>2144</v>
      </c>
      <c r="B1158" s="255" t="s">
        <v>1736</v>
      </c>
    </row>
    <row r="1159" spans="1:2" ht="15">
      <c r="A1159" s="470">
        <v>2145</v>
      </c>
      <c r="B1159" s="456" t="s">
        <v>62</v>
      </c>
    </row>
    <row r="1160" spans="1:2" ht="15">
      <c r="A1160" s="470">
        <v>2146</v>
      </c>
      <c r="B1160" s="457" t="s">
        <v>933</v>
      </c>
    </row>
    <row r="1161" spans="1:2" ht="15">
      <c r="A1161" s="470">
        <v>2147</v>
      </c>
      <c r="B1161" s="311" t="s">
        <v>57</v>
      </c>
    </row>
    <row r="1162" spans="1:2" ht="15.75" thickBot="1">
      <c r="A1162" s="470">
        <v>2148</v>
      </c>
      <c r="B1162" s="254" t="s">
        <v>1737</v>
      </c>
    </row>
    <row r="1163" spans="1:2" ht="15">
      <c r="A1163" s="470">
        <v>2149</v>
      </c>
      <c r="B1163" s="290" t="s">
        <v>1377</v>
      </c>
    </row>
    <row r="1164" spans="1:2" ht="36">
      <c r="A1164" s="470">
        <v>2150</v>
      </c>
      <c r="B1164" s="283" t="s">
        <v>1388</v>
      </c>
    </row>
    <row r="1165" spans="1:2" ht="22.5">
      <c r="A1165" s="470">
        <v>2151</v>
      </c>
      <c r="B1165" s="254" t="s">
        <v>953</v>
      </c>
    </row>
    <row r="1166" spans="1:2" ht="22.5">
      <c r="A1166" s="470">
        <v>2152</v>
      </c>
      <c r="B1166" s="254" t="s">
        <v>954</v>
      </c>
    </row>
    <row r="1167" spans="1:2" ht="15.75">
      <c r="A1167" s="470">
        <v>2153</v>
      </c>
      <c r="B1167" s="261" t="s">
        <v>1380</v>
      </c>
    </row>
    <row r="1168" spans="1:2" ht="15">
      <c r="A1168" s="470">
        <v>2154</v>
      </c>
      <c r="B1168" s="330" t="s">
        <v>955</v>
      </c>
    </row>
    <row r="1169" spans="1:2" ht="67.5">
      <c r="A1169" s="470">
        <v>2155</v>
      </c>
      <c r="B1169" s="254" t="s">
        <v>956</v>
      </c>
    </row>
    <row r="1170" spans="1:2" ht="15">
      <c r="A1170" s="470">
        <v>2156</v>
      </c>
      <c r="B1170" s="255" t="s">
        <v>1834</v>
      </c>
    </row>
    <row r="1171" spans="1:2" ht="21">
      <c r="A1171" s="470">
        <v>2157</v>
      </c>
      <c r="B1171" s="255" t="s">
        <v>729</v>
      </c>
    </row>
    <row r="1172" spans="1:2" ht="15">
      <c r="A1172" s="470">
        <v>2158</v>
      </c>
      <c r="B1172" s="445" t="s">
        <v>126</v>
      </c>
    </row>
    <row r="1173" spans="1:2" ht="45">
      <c r="A1173" s="470">
        <v>2159</v>
      </c>
      <c r="B1173" s="254" t="s">
        <v>127</v>
      </c>
    </row>
    <row r="1174" spans="1:2" ht="33.75">
      <c r="A1174" s="470">
        <v>2160</v>
      </c>
      <c r="B1174" s="254" t="s">
        <v>957</v>
      </c>
    </row>
    <row r="1175" spans="1:2" ht="15">
      <c r="A1175" s="470">
        <v>2161</v>
      </c>
      <c r="B1175" s="15" t="s">
        <v>958</v>
      </c>
    </row>
    <row r="1176" spans="1:2" ht="33.75">
      <c r="A1176" s="470">
        <v>2162</v>
      </c>
      <c r="B1176" s="254" t="s">
        <v>959</v>
      </c>
    </row>
    <row r="1177" spans="1:2" ht="31.5">
      <c r="A1177" s="470">
        <v>2163</v>
      </c>
      <c r="B1177" s="255" t="s">
        <v>142</v>
      </c>
    </row>
    <row r="1178" spans="1:2" ht="15">
      <c r="A1178" s="470">
        <v>2164</v>
      </c>
      <c r="B1178" s="353" t="s">
        <v>1620</v>
      </c>
    </row>
    <row r="1179" spans="1:2" ht="15">
      <c r="A1179" s="470">
        <v>2165</v>
      </c>
      <c r="B1179" s="390" t="s">
        <v>1738</v>
      </c>
    </row>
    <row r="1180" spans="1:2" ht="15">
      <c r="A1180" s="470">
        <v>2166</v>
      </c>
      <c r="B1180" s="258" t="s">
        <v>656</v>
      </c>
    </row>
    <row r="1181" spans="1:2" ht="78.75">
      <c r="A1181" s="470">
        <v>2167</v>
      </c>
      <c r="B1181" s="254" t="s">
        <v>1208</v>
      </c>
    </row>
    <row r="1182" spans="1:2" ht="33.75">
      <c r="A1182" s="470">
        <v>2168</v>
      </c>
      <c r="B1182" s="254" t="s">
        <v>128</v>
      </c>
    </row>
    <row r="1183" spans="1:2" ht="52.5">
      <c r="A1183" s="470">
        <v>2169</v>
      </c>
      <c r="B1183" s="255" t="s">
        <v>143</v>
      </c>
    </row>
    <row r="1184" spans="1:2" ht="15">
      <c r="A1184" s="470">
        <v>2170</v>
      </c>
      <c r="B1184" s="254" t="s">
        <v>357</v>
      </c>
    </row>
    <row r="1185" spans="1:2" ht="15">
      <c r="A1185" s="470">
        <v>2171</v>
      </c>
      <c r="B1185" s="454" t="s">
        <v>26</v>
      </c>
    </row>
    <row r="1186" spans="1:2" ht="15">
      <c r="A1186" s="470">
        <v>2172</v>
      </c>
      <c r="B1186" s="442" t="s">
        <v>243</v>
      </c>
    </row>
    <row r="1187" spans="1:2" ht="15">
      <c r="A1187" s="470">
        <v>2173</v>
      </c>
      <c r="B1187" s="258" t="s">
        <v>296</v>
      </c>
    </row>
    <row r="1188" spans="1:2" ht="15">
      <c r="A1188" s="470">
        <v>2174</v>
      </c>
      <c r="B1188" s="254" t="s">
        <v>358</v>
      </c>
    </row>
    <row r="1189" spans="1:2" ht="15">
      <c r="A1189" s="470">
        <v>2175</v>
      </c>
      <c r="B1189" s="258" t="s">
        <v>129</v>
      </c>
    </row>
    <row r="1190" spans="1:2" ht="15">
      <c r="A1190" s="470">
        <v>2176</v>
      </c>
      <c r="B1190" s="17" t="s">
        <v>359</v>
      </c>
    </row>
    <row r="1191" spans="1:2" ht="15">
      <c r="A1191" s="470">
        <v>2177</v>
      </c>
      <c r="B1191" s="353" t="s">
        <v>48</v>
      </c>
    </row>
    <row r="1192" spans="1:2" ht="15">
      <c r="A1192" s="470">
        <v>2178</v>
      </c>
      <c r="B1192" s="258" t="s">
        <v>17</v>
      </c>
    </row>
    <row r="1193" spans="1:2" ht="15">
      <c r="A1193" s="470">
        <v>2179</v>
      </c>
      <c r="B1193" s="254" t="s">
        <v>657</v>
      </c>
    </row>
    <row r="1194" spans="1:2" ht="22.5">
      <c r="A1194" s="470">
        <v>2180</v>
      </c>
      <c r="B1194" s="254" t="s">
        <v>1376</v>
      </c>
    </row>
    <row r="1195" spans="1:2" ht="22.5">
      <c r="A1195" s="470">
        <v>2181</v>
      </c>
      <c r="B1195" s="254" t="s">
        <v>1385</v>
      </c>
    </row>
    <row r="1196" spans="1:2" ht="22.5">
      <c r="A1196" s="470">
        <v>2182</v>
      </c>
      <c r="B1196" s="254" t="s">
        <v>1383</v>
      </c>
    </row>
    <row r="1197" spans="1:2" ht="23.25" thickBot="1">
      <c r="A1197" s="470">
        <v>2183</v>
      </c>
      <c r="B1197" s="254" t="s">
        <v>1384</v>
      </c>
    </row>
    <row r="1198" spans="1:2" ht="15">
      <c r="A1198" s="470">
        <v>2184</v>
      </c>
      <c r="B1198" s="290" t="s">
        <v>1378</v>
      </c>
    </row>
    <row r="1199" spans="1:2" ht="36">
      <c r="A1199" s="470">
        <v>2185</v>
      </c>
      <c r="B1199" s="283" t="s">
        <v>1775</v>
      </c>
    </row>
    <row r="1200" spans="1:2" ht="33.75">
      <c r="A1200" s="470">
        <v>2186</v>
      </c>
      <c r="B1200" s="254" t="s">
        <v>144</v>
      </c>
    </row>
    <row r="1201" spans="1:2" ht="22.5">
      <c r="A1201" s="470">
        <v>2187</v>
      </c>
      <c r="B1201" s="254" t="s">
        <v>717</v>
      </c>
    </row>
    <row r="1202" spans="1:2" ht="15.75">
      <c r="A1202" s="470">
        <v>2188</v>
      </c>
      <c r="B1202" s="261" t="s">
        <v>968</v>
      </c>
    </row>
    <row r="1203" spans="1:2" ht="67.5">
      <c r="A1203" s="470">
        <v>2189</v>
      </c>
      <c r="B1203" s="254" t="s">
        <v>1386</v>
      </c>
    </row>
    <row r="1204" spans="1:2" ht="67.5">
      <c r="A1204" s="470">
        <v>2190</v>
      </c>
      <c r="B1204" s="254" t="s">
        <v>145</v>
      </c>
    </row>
    <row r="1205" spans="1:2" ht="15">
      <c r="A1205" s="470">
        <v>2191</v>
      </c>
      <c r="B1205" s="254" t="s">
        <v>1387</v>
      </c>
    </row>
    <row r="1206" spans="1:2" ht="22.5">
      <c r="A1206" s="470">
        <v>2192</v>
      </c>
      <c r="B1206" s="254" t="s">
        <v>294</v>
      </c>
    </row>
    <row r="1207" spans="1:2" ht="22.5">
      <c r="A1207" s="470">
        <v>2193</v>
      </c>
      <c r="B1207" s="254" t="s">
        <v>1779</v>
      </c>
    </row>
    <row r="1208" spans="1:2" ht="22.5">
      <c r="A1208" s="470">
        <v>2194</v>
      </c>
      <c r="B1208" s="254" t="s">
        <v>1778</v>
      </c>
    </row>
    <row r="1209" spans="1:2" ht="15">
      <c r="A1209" s="470">
        <v>2195</v>
      </c>
      <c r="B1209" s="258" t="s">
        <v>1379</v>
      </c>
    </row>
    <row r="1210" spans="1:2" ht="33.75">
      <c r="A1210" s="470">
        <v>2196</v>
      </c>
      <c r="B1210" s="254" t="s">
        <v>295</v>
      </c>
    </row>
    <row r="1211" spans="1:2" ht="15">
      <c r="A1211" s="470">
        <v>2197</v>
      </c>
      <c r="B1211" s="17" t="s">
        <v>1925</v>
      </c>
    </row>
    <row r="1212" spans="1:2" ht="15">
      <c r="A1212" s="470">
        <v>2198</v>
      </c>
      <c r="B1212" s="17" t="s">
        <v>1924</v>
      </c>
    </row>
    <row r="1213" spans="1:2" ht="15">
      <c r="A1213" s="470">
        <v>2199</v>
      </c>
      <c r="B1213" s="254" t="s">
        <v>1730</v>
      </c>
    </row>
    <row r="1214" spans="1:2" ht="15">
      <c r="A1214" s="470">
        <v>2200</v>
      </c>
      <c r="B1214" s="258" t="s">
        <v>951</v>
      </c>
    </row>
    <row r="1215" spans="1:2" ht="45">
      <c r="A1215" s="470">
        <v>2201</v>
      </c>
      <c r="B1215" s="254" t="s">
        <v>25</v>
      </c>
    </row>
    <row r="1216" spans="1:2" ht="45">
      <c r="A1216" s="470">
        <v>2202</v>
      </c>
      <c r="B1216" s="254" t="s">
        <v>130</v>
      </c>
    </row>
    <row r="1217" spans="1:2" ht="15">
      <c r="A1217" s="470">
        <v>2203</v>
      </c>
      <c r="B1217" s="258" t="s">
        <v>1777</v>
      </c>
    </row>
    <row r="1218" spans="1:2" ht="15">
      <c r="A1218" s="470">
        <v>2204</v>
      </c>
      <c r="B1218" s="17" t="s">
        <v>718</v>
      </c>
    </row>
    <row r="1219" spans="1:2" ht="15">
      <c r="A1219" s="470">
        <v>2205</v>
      </c>
      <c r="B1219" s="17" t="s">
        <v>1628</v>
      </c>
    </row>
    <row r="1220" spans="1:2" ht="15">
      <c r="A1220" s="470">
        <v>2206</v>
      </c>
      <c r="B1220" s="443" t="s">
        <v>1587</v>
      </c>
    </row>
    <row r="1221" spans="1:2" ht="15">
      <c r="A1221" s="470">
        <v>2207</v>
      </c>
      <c r="B1221" s="17" t="s">
        <v>774</v>
      </c>
    </row>
    <row r="1222" spans="1:2" ht="33.75">
      <c r="A1222" s="470">
        <v>2208</v>
      </c>
      <c r="B1222" s="254" t="s">
        <v>1588</v>
      </c>
    </row>
    <row r="1223" spans="1:2" ht="15">
      <c r="A1223" s="470">
        <v>2209</v>
      </c>
      <c r="B1223" s="255" t="s">
        <v>1589</v>
      </c>
    </row>
    <row r="1224" spans="1:2" ht="56.25">
      <c r="A1224" s="470">
        <v>2210</v>
      </c>
      <c r="B1224" s="254" t="s">
        <v>773</v>
      </c>
    </row>
    <row r="1225" spans="1:2" ht="15">
      <c r="A1225" s="470">
        <v>2211</v>
      </c>
      <c r="B1225" s="255" t="s">
        <v>1590</v>
      </c>
    </row>
    <row r="1226" spans="1:2" ht="15">
      <c r="A1226" s="470">
        <v>2212</v>
      </c>
      <c r="B1226" s="17" t="s">
        <v>776</v>
      </c>
    </row>
    <row r="1227" spans="1:2" ht="15">
      <c r="A1227" s="470">
        <v>2213</v>
      </c>
      <c r="B1227" s="17" t="s">
        <v>777</v>
      </c>
    </row>
    <row r="1228" spans="1:2" ht="15">
      <c r="A1228" s="470">
        <v>2214</v>
      </c>
      <c r="B1228" s="443" t="s">
        <v>89</v>
      </c>
    </row>
    <row r="1229" spans="1:2" ht="15">
      <c r="A1229" s="470">
        <v>2215</v>
      </c>
      <c r="B1229" s="17" t="s">
        <v>107</v>
      </c>
    </row>
    <row r="1230" spans="1:2" ht="15">
      <c r="A1230" s="470">
        <v>2216</v>
      </c>
      <c r="B1230" s="17" t="s">
        <v>108</v>
      </c>
    </row>
    <row r="1231" spans="1:2" ht="15">
      <c r="A1231" s="470">
        <v>2217</v>
      </c>
      <c r="B1231" s="17" t="s">
        <v>109</v>
      </c>
    </row>
    <row r="1232" spans="1:2" ht="15">
      <c r="A1232" s="470">
        <v>2218</v>
      </c>
      <c r="B1232" s="17" t="s">
        <v>110</v>
      </c>
    </row>
    <row r="1233" spans="1:2" ht="15">
      <c r="A1233" s="470">
        <v>2219</v>
      </c>
      <c r="B1233" s="17" t="s">
        <v>1612</v>
      </c>
    </row>
    <row r="1234" spans="1:2" ht="15">
      <c r="A1234" s="470">
        <v>2220</v>
      </c>
      <c r="B1234" s="443" t="s">
        <v>1308</v>
      </c>
    </row>
    <row r="1235" spans="1:2" ht="15">
      <c r="A1235" s="470">
        <v>2221</v>
      </c>
      <c r="B1235" s="257" t="s">
        <v>778</v>
      </c>
    </row>
    <row r="1236" spans="1:2" ht="31.5">
      <c r="A1236" s="470">
        <v>2222</v>
      </c>
      <c r="B1236" s="255" t="s">
        <v>1306</v>
      </c>
    </row>
    <row r="1237" spans="1:2" ht="21">
      <c r="A1237" s="470">
        <v>2223</v>
      </c>
      <c r="B1237" s="255" t="s">
        <v>1307</v>
      </c>
    </row>
    <row r="1238" spans="1:2" ht="15">
      <c r="A1238" s="470">
        <v>2224</v>
      </c>
      <c r="B1238" s="310" t="s">
        <v>967</v>
      </c>
    </row>
    <row r="1239" spans="1:2" ht="15">
      <c r="A1239" s="470">
        <v>2225</v>
      </c>
      <c r="B1239" s="458" t="s">
        <v>932</v>
      </c>
    </row>
    <row r="1240" spans="1:2" ht="15">
      <c r="A1240" s="470">
        <v>2226</v>
      </c>
      <c r="B1240" s="458" t="s">
        <v>1594</v>
      </c>
    </row>
    <row r="1241" spans="1:2" ht="15">
      <c r="A1241" s="470">
        <v>2227</v>
      </c>
      <c r="B1241" s="459" t="s">
        <v>1592</v>
      </c>
    </row>
    <row r="1242" spans="1:2" ht="15">
      <c r="A1242" s="470">
        <v>2228</v>
      </c>
      <c r="B1242" s="458" t="s">
        <v>1593</v>
      </c>
    </row>
    <row r="1243" spans="1:2" ht="15">
      <c r="A1243" s="470">
        <v>2229</v>
      </c>
      <c r="B1243" s="15" t="s">
        <v>1926</v>
      </c>
    </row>
    <row r="1244" spans="1:2" ht="45">
      <c r="A1244" s="470">
        <v>2230</v>
      </c>
      <c r="B1244" s="254" t="s">
        <v>131</v>
      </c>
    </row>
    <row r="1245" spans="1:2" ht="22.5">
      <c r="A1245" s="470">
        <v>2231</v>
      </c>
      <c r="B1245" s="254" t="s">
        <v>1927</v>
      </c>
    </row>
    <row r="1246" spans="1:2" ht="15">
      <c r="A1246" s="470">
        <v>2232</v>
      </c>
      <c r="B1246" s="353" t="s">
        <v>73</v>
      </c>
    </row>
    <row r="1247" spans="1:2" ht="42">
      <c r="A1247" s="470">
        <v>2233</v>
      </c>
      <c r="B1247" s="255" t="s">
        <v>1833</v>
      </c>
    </row>
    <row r="1248" spans="1:2" ht="45">
      <c r="A1248" s="470">
        <v>2234</v>
      </c>
      <c r="B1248" s="254" t="s">
        <v>1832</v>
      </c>
    </row>
    <row r="1249" spans="1:2" ht="15">
      <c r="A1249" s="470">
        <v>2235</v>
      </c>
      <c r="B1249" s="313" t="s">
        <v>930</v>
      </c>
    </row>
    <row r="1250" spans="1:2" ht="15">
      <c r="A1250" s="470">
        <v>2236</v>
      </c>
      <c r="B1250" s="443" t="s">
        <v>1732</v>
      </c>
    </row>
    <row r="1251" spans="1:2" ht="33.75">
      <c r="A1251" s="470">
        <v>2237</v>
      </c>
      <c r="B1251" s="254" t="s">
        <v>150</v>
      </c>
    </row>
    <row r="1252" spans="1:2" ht="15">
      <c r="A1252" s="470">
        <v>2238</v>
      </c>
      <c r="B1252" s="17" t="s">
        <v>1867</v>
      </c>
    </row>
    <row r="1253" spans="1:2" ht="15">
      <c r="A1253" s="470">
        <v>2239</v>
      </c>
      <c r="B1253" s="443" t="s">
        <v>1868</v>
      </c>
    </row>
    <row r="1254" spans="1:2" ht="15">
      <c r="A1254" s="470">
        <v>2240</v>
      </c>
      <c r="B1254" s="460" t="s">
        <v>931</v>
      </c>
    </row>
    <row r="1255" spans="1:2" ht="22.5">
      <c r="A1255" s="470">
        <v>2241</v>
      </c>
      <c r="B1255" s="254" t="s">
        <v>651</v>
      </c>
    </row>
    <row r="1256" spans="1:2" ht="15">
      <c r="A1256" s="470">
        <v>2242</v>
      </c>
      <c r="B1256" s="255" t="s">
        <v>758</v>
      </c>
    </row>
    <row r="1257" spans="1:2" ht="21">
      <c r="A1257" s="470">
        <v>2243</v>
      </c>
      <c r="B1257" s="255" t="s">
        <v>603</v>
      </c>
    </row>
    <row r="1258" spans="1:2" ht="33.75">
      <c r="A1258" s="470">
        <v>2244</v>
      </c>
      <c r="B1258" s="254" t="s">
        <v>1835</v>
      </c>
    </row>
    <row r="1259" spans="1:2" ht="15">
      <c r="A1259" s="470">
        <v>2245</v>
      </c>
      <c r="B1259" s="444" t="s">
        <v>1869</v>
      </c>
    </row>
    <row r="1260" spans="1:2" ht="15">
      <c r="A1260" s="470">
        <v>2246</v>
      </c>
      <c r="B1260" s="15" t="s">
        <v>1611</v>
      </c>
    </row>
    <row r="1261" spans="1:2" ht="15">
      <c r="A1261" s="470">
        <v>2247</v>
      </c>
      <c r="B1261" s="444" t="s">
        <v>1780</v>
      </c>
    </row>
    <row r="1262" spans="1:2" ht="15">
      <c r="A1262" s="470">
        <v>2248</v>
      </c>
      <c r="B1262" s="258" t="s">
        <v>949</v>
      </c>
    </row>
    <row r="1263" spans="1:2" ht="15">
      <c r="A1263" s="470">
        <v>2249</v>
      </c>
      <c r="B1263" s="254" t="s">
        <v>828</v>
      </c>
    </row>
    <row r="1264" spans="1:2" ht="15">
      <c r="A1264" s="470">
        <v>2250</v>
      </c>
      <c r="B1264" s="15" t="s">
        <v>947</v>
      </c>
    </row>
    <row r="1265" spans="1:2" ht="15">
      <c r="A1265" s="470">
        <v>2251</v>
      </c>
      <c r="B1265" s="17" t="s">
        <v>831</v>
      </c>
    </row>
    <row r="1266" spans="1:2" ht="22.5">
      <c r="A1266" s="470">
        <v>2252</v>
      </c>
      <c r="B1266" s="254" t="s">
        <v>832</v>
      </c>
    </row>
    <row r="1267" spans="1:2" ht="33.75">
      <c r="A1267" s="470">
        <v>2253</v>
      </c>
      <c r="B1267" s="254" t="s">
        <v>1420</v>
      </c>
    </row>
    <row r="1268" spans="1:2" ht="15">
      <c r="A1268" s="470">
        <v>2254</v>
      </c>
      <c r="B1268" s="331" t="s">
        <v>1041</v>
      </c>
    </row>
    <row r="1269" spans="1:2" ht="22.5">
      <c r="A1269" s="470">
        <v>2255</v>
      </c>
      <c r="B1269" s="254" t="s">
        <v>833</v>
      </c>
    </row>
    <row r="1270" spans="1:2" ht="33.75">
      <c r="A1270" s="470">
        <v>2256</v>
      </c>
      <c r="B1270" s="254" t="s">
        <v>1131</v>
      </c>
    </row>
    <row r="1271" spans="1:2" ht="15">
      <c r="A1271" s="470">
        <v>2257</v>
      </c>
      <c r="B1271" s="254" t="s">
        <v>969</v>
      </c>
    </row>
    <row r="1272" spans="1:2" ht="15">
      <c r="A1272" s="470">
        <v>2258</v>
      </c>
      <c r="B1272" s="331" t="s">
        <v>1132</v>
      </c>
    </row>
    <row r="1273" spans="1:2" ht="22.5">
      <c r="A1273" s="470">
        <v>2259</v>
      </c>
      <c r="B1273" s="254" t="s">
        <v>834</v>
      </c>
    </row>
    <row r="1274" spans="1:2" ht="31.5">
      <c r="A1274" s="470">
        <v>2260</v>
      </c>
      <c r="B1274" s="255" t="s">
        <v>1077</v>
      </c>
    </row>
    <row r="1275" spans="1:2" ht="15">
      <c r="A1275" s="470">
        <v>2261</v>
      </c>
      <c r="B1275" s="255" t="s">
        <v>1127</v>
      </c>
    </row>
    <row r="1276" spans="1:2" ht="15">
      <c r="A1276" s="470">
        <v>2262</v>
      </c>
      <c r="B1276" s="17" t="s">
        <v>829</v>
      </c>
    </row>
    <row r="1277" spans="1:2" ht="22.5">
      <c r="A1277" s="470">
        <v>2263</v>
      </c>
      <c r="B1277" s="254" t="s">
        <v>661</v>
      </c>
    </row>
    <row r="1278" spans="1:2" ht="67.5">
      <c r="A1278" s="470">
        <v>2264</v>
      </c>
      <c r="B1278" s="254" t="s">
        <v>1137</v>
      </c>
    </row>
    <row r="1279" spans="1:2" ht="15">
      <c r="A1279" s="470">
        <v>2265</v>
      </c>
      <c r="B1279" s="15" t="s">
        <v>1929</v>
      </c>
    </row>
    <row r="1280" spans="1:2" ht="22.5">
      <c r="A1280" s="470">
        <v>2266</v>
      </c>
      <c r="B1280" s="254" t="s">
        <v>132</v>
      </c>
    </row>
    <row r="1281" spans="1:2" ht="21">
      <c r="A1281" s="470">
        <v>2267</v>
      </c>
      <c r="B1281" s="255" t="s">
        <v>662</v>
      </c>
    </row>
    <row r="1282" spans="1:2" ht="15">
      <c r="A1282" s="470">
        <v>2268</v>
      </c>
      <c r="B1282" s="15" t="s">
        <v>1381</v>
      </c>
    </row>
    <row r="1283" spans="1:2" ht="15">
      <c r="A1283" s="470">
        <v>2269</v>
      </c>
      <c r="B1283" s="254" t="s">
        <v>113</v>
      </c>
    </row>
    <row r="1284" spans="1:2" ht="22.5">
      <c r="A1284" s="470">
        <v>2270</v>
      </c>
      <c r="B1284" s="254" t="s">
        <v>836</v>
      </c>
    </row>
    <row r="1285" spans="1:2" ht="22.5">
      <c r="A1285" s="470">
        <v>2271</v>
      </c>
      <c r="B1285" s="254" t="s">
        <v>133</v>
      </c>
    </row>
    <row r="1286" spans="1:2" ht="15">
      <c r="A1286" s="470">
        <v>2272</v>
      </c>
      <c r="B1286" s="17" t="s">
        <v>111</v>
      </c>
    </row>
    <row r="1287" spans="1:2" ht="15">
      <c r="A1287" s="470">
        <v>2273</v>
      </c>
      <c r="B1287" s="17" t="s">
        <v>112</v>
      </c>
    </row>
    <row r="1288" spans="1:2" ht="22.5">
      <c r="A1288" s="470">
        <v>2274</v>
      </c>
      <c r="B1288" s="254" t="s">
        <v>642</v>
      </c>
    </row>
    <row r="1289" spans="1:2" ht="33.75">
      <c r="A1289" s="470">
        <v>2275</v>
      </c>
      <c r="B1289" s="254" t="s">
        <v>1040</v>
      </c>
    </row>
    <row r="1290" spans="1:2" ht="33.75">
      <c r="A1290" s="470">
        <v>2276</v>
      </c>
      <c r="B1290" s="254" t="s">
        <v>643</v>
      </c>
    </row>
    <row r="1291" spans="1:2" ht="15">
      <c r="A1291" s="470">
        <v>2277</v>
      </c>
      <c r="B1291" s="15" t="s">
        <v>63</v>
      </c>
    </row>
    <row r="1292" spans="1:2" ht="15">
      <c r="A1292" s="470">
        <v>2278</v>
      </c>
      <c r="B1292" s="418" t="s">
        <v>65</v>
      </c>
    </row>
    <row r="1293" spans="1:2" ht="15">
      <c r="A1293" s="470">
        <v>2279</v>
      </c>
      <c r="B1293" s="17" t="s">
        <v>250</v>
      </c>
    </row>
    <row r="1294" spans="1:2" ht="15">
      <c r="A1294" s="470">
        <v>2280</v>
      </c>
      <c r="B1294" s="17" t="s">
        <v>835</v>
      </c>
    </row>
    <row r="1295" spans="1:2" ht="15">
      <c r="A1295" s="470">
        <v>2281</v>
      </c>
      <c r="B1295" s="15" t="s">
        <v>290</v>
      </c>
    </row>
    <row r="1296" spans="1:2" ht="15">
      <c r="A1296" s="470">
        <v>2282</v>
      </c>
      <c r="B1296" s="17" t="s">
        <v>114</v>
      </c>
    </row>
    <row r="1297" spans="1:2" ht="15">
      <c r="A1297" s="470">
        <v>2283</v>
      </c>
      <c r="B1297" s="15" t="s">
        <v>965</v>
      </c>
    </row>
    <row r="1298" spans="1:2" ht="33.75">
      <c r="A1298" s="470">
        <v>2284</v>
      </c>
      <c r="B1298" s="254" t="s">
        <v>1865</v>
      </c>
    </row>
    <row r="1299" spans="1:2" ht="15">
      <c r="A1299" s="470">
        <v>2285</v>
      </c>
      <c r="B1299" s="254" t="s">
        <v>1464</v>
      </c>
    </row>
    <row r="1300" spans="1:2" ht="15">
      <c r="A1300" s="470">
        <v>2286</v>
      </c>
      <c r="B1300" s="254" t="s">
        <v>1453</v>
      </c>
    </row>
    <row r="1301" spans="1:2" ht="45">
      <c r="A1301" s="470">
        <v>2287</v>
      </c>
      <c r="B1301" s="254" t="s">
        <v>1454</v>
      </c>
    </row>
    <row r="1302" spans="1:2" ht="22.5">
      <c r="A1302" s="470">
        <v>2288</v>
      </c>
      <c r="B1302" s="254" t="s">
        <v>1465</v>
      </c>
    </row>
    <row r="1303" spans="1:2" ht="22.5">
      <c r="A1303" s="470">
        <v>2289</v>
      </c>
      <c r="B1303" s="254" t="s">
        <v>605</v>
      </c>
    </row>
    <row r="1304" spans="1:2" ht="31.5">
      <c r="A1304" s="470">
        <v>2290</v>
      </c>
      <c r="B1304" s="255" t="s">
        <v>1461</v>
      </c>
    </row>
    <row r="1305" spans="1:2" ht="15">
      <c r="A1305" s="470">
        <v>2291</v>
      </c>
      <c r="B1305" s="461" t="s">
        <v>1451</v>
      </c>
    </row>
    <row r="1306" spans="1:2" ht="15">
      <c r="A1306" s="470">
        <v>2292</v>
      </c>
      <c r="B1306" s="462" t="s">
        <v>1452</v>
      </c>
    </row>
    <row r="1307" spans="1:2" ht="22.5">
      <c r="A1307" s="470">
        <v>2293</v>
      </c>
      <c r="B1307" s="254" t="s">
        <v>1043</v>
      </c>
    </row>
    <row r="1308" spans="1:2" ht="15">
      <c r="A1308" s="470">
        <v>2294</v>
      </c>
      <c r="B1308" s="17" t="s">
        <v>1456</v>
      </c>
    </row>
    <row r="1309" spans="1:2" ht="15">
      <c r="A1309" s="470">
        <v>2295</v>
      </c>
      <c r="B1309" s="254" t="s">
        <v>1463</v>
      </c>
    </row>
    <row r="1310" spans="1:2" ht="22.5">
      <c r="A1310" s="470">
        <v>2296</v>
      </c>
      <c r="B1310" s="254" t="s">
        <v>1458</v>
      </c>
    </row>
    <row r="1311" spans="1:2" ht="22.5">
      <c r="A1311" s="470">
        <v>2297</v>
      </c>
      <c r="B1311" s="254" t="s">
        <v>1455</v>
      </c>
    </row>
    <row r="1312" spans="1:2" ht="15">
      <c r="A1312" s="470">
        <v>2298</v>
      </c>
      <c r="B1312" s="254" t="s">
        <v>1044</v>
      </c>
    </row>
    <row r="1313" spans="1:2" ht="15">
      <c r="A1313" s="470">
        <v>2299</v>
      </c>
      <c r="B1313" s="447" t="s">
        <v>1450</v>
      </c>
    </row>
    <row r="1314" spans="1:2" ht="15">
      <c r="A1314" s="470">
        <v>2300</v>
      </c>
      <c r="B1314" s="390" t="s">
        <v>877</v>
      </c>
    </row>
    <row r="1315" spans="1:2" ht="15">
      <c r="A1315" s="470">
        <v>2301</v>
      </c>
      <c r="B1315" s="26" t="s">
        <v>1459</v>
      </c>
    </row>
    <row r="1316" spans="1:2" ht="15">
      <c r="A1316" s="470">
        <v>2302</v>
      </c>
      <c r="B1316" s="17" t="s">
        <v>1460</v>
      </c>
    </row>
    <row r="1317" spans="1:2" ht="45">
      <c r="A1317" s="470">
        <v>2303</v>
      </c>
      <c r="B1317" s="254" t="s">
        <v>1462</v>
      </c>
    </row>
    <row r="1318" spans="1:2" ht="22.5">
      <c r="A1318" s="470">
        <v>2304</v>
      </c>
      <c r="B1318" s="254" t="s">
        <v>1468</v>
      </c>
    </row>
    <row r="1319" spans="1:2" ht="22.5">
      <c r="A1319" s="470">
        <v>2305</v>
      </c>
      <c r="B1319" s="254" t="s">
        <v>1467</v>
      </c>
    </row>
    <row r="1320" spans="1:2" ht="22.5">
      <c r="A1320" s="470">
        <v>2306</v>
      </c>
      <c r="B1320" s="254" t="s">
        <v>1466</v>
      </c>
    </row>
    <row r="1321" spans="1:2" ht="15">
      <c r="A1321" s="470">
        <v>2307</v>
      </c>
      <c r="B1321" s="461" t="s">
        <v>878</v>
      </c>
    </row>
    <row r="1322" spans="1:2" ht="15">
      <c r="A1322" s="470">
        <v>2308</v>
      </c>
      <c r="B1322" s="463" t="s">
        <v>876</v>
      </c>
    </row>
    <row r="1323" spans="1:2" ht="15">
      <c r="A1323" s="470">
        <v>2309</v>
      </c>
      <c r="B1323" s="447" t="s">
        <v>879</v>
      </c>
    </row>
    <row r="1324" spans="1:2" ht="15">
      <c r="A1324" s="470">
        <v>2310</v>
      </c>
      <c r="B1324" s="447" t="s">
        <v>880</v>
      </c>
    </row>
    <row r="1325" spans="1:2" ht="15">
      <c r="A1325" s="470">
        <v>2311</v>
      </c>
      <c r="B1325" s="348" t="s">
        <v>15</v>
      </c>
    </row>
    <row r="1326" spans="1:2" ht="45">
      <c r="A1326" s="470">
        <v>2312</v>
      </c>
      <c r="B1326" s="254" t="s">
        <v>827</v>
      </c>
    </row>
    <row r="1327" spans="1:2" ht="45">
      <c r="A1327" s="470">
        <v>2313</v>
      </c>
      <c r="B1327" s="254" t="s">
        <v>146</v>
      </c>
    </row>
    <row r="1328" spans="1:2" ht="22.5">
      <c r="A1328" s="470">
        <v>2314</v>
      </c>
      <c r="B1328" s="254" t="s">
        <v>604</v>
      </c>
    </row>
    <row r="1329" spans="1:2" ht="22.5">
      <c r="A1329" s="470">
        <v>2315</v>
      </c>
      <c r="B1329" s="254" t="s">
        <v>1421</v>
      </c>
    </row>
    <row r="1330" spans="1:2" ht="33.75">
      <c r="A1330" s="470">
        <v>2316</v>
      </c>
      <c r="B1330" s="254" t="s">
        <v>663</v>
      </c>
    </row>
    <row r="1331" spans="1:2" ht="15">
      <c r="A1331" s="470">
        <v>2317</v>
      </c>
      <c r="B1331" s="17" t="s">
        <v>658</v>
      </c>
    </row>
    <row r="1332" spans="1:2" ht="42">
      <c r="A1332" s="470">
        <v>2318</v>
      </c>
      <c r="B1332" s="255" t="s">
        <v>147</v>
      </c>
    </row>
    <row r="1333" spans="1:2" ht="67.5">
      <c r="A1333" s="470">
        <v>2319</v>
      </c>
      <c r="B1333" s="254" t="s">
        <v>1735</v>
      </c>
    </row>
    <row r="1334" spans="1:2" ht="15">
      <c r="A1334" s="470">
        <v>2320</v>
      </c>
      <c r="B1334" s="17" t="s">
        <v>134</v>
      </c>
    </row>
    <row r="1335" spans="1:2" ht="15">
      <c r="A1335" s="470">
        <v>2321</v>
      </c>
      <c r="B1335" s="443" t="s">
        <v>292</v>
      </c>
    </row>
    <row r="1336" spans="1:2" ht="15">
      <c r="A1336" s="470">
        <v>2322</v>
      </c>
      <c r="B1336" s="17" t="s">
        <v>249</v>
      </c>
    </row>
    <row r="1337" spans="1:2" ht="33.75">
      <c r="A1337" s="470">
        <v>2323</v>
      </c>
      <c r="B1337" s="254" t="s">
        <v>1422</v>
      </c>
    </row>
    <row r="1338" spans="1:2" ht="15">
      <c r="A1338" s="470">
        <v>2324</v>
      </c>
      <c r="B1338" s="254" t="s">
        <v>1423</v>
      </c>
    </row>
    <row r="1339" spans="1:2" ht="15">
      <c r="A1339" s="470">
        <v>2325</v>
      </c>
      <c r="B1339" s="254" t="s">
        <v>1424</v>
      </c>
    </row>
    <row r="1340" spans="1:2" ht="22.5">
      <c r="A1340" s="470">
        <v>2326</v>
      </c>
      <c r="B1340" s="254" t="s">
        <v>1075</v>
      </c>
    </row>
    <row r="1341" spans="1:2" ht="22.5">
      <c r="A1341" s="470">
        <v>2327</v>
      </c>
      <c r="B1341" s="254" t="s">
        <v>1135</v>
      </c>
    </row>
    <row r="1342" spans="1:2" ht="33.75">
      <c r="A1342" s="470">
        <v>2328</v>
      </c>
      <c r="B1342" s="254" t="s">
        <v>1864</v>
      </c>
    </row>
    <row r="1343" spans="1:2" ht="22.5">
      <c r="A1343" s="470">
        <v>2329</v>
      </c>
      <c r="B1343" s="254" t="s">
        <v>1076</v>
      </c>
    </row>
    <row r="1344" spans="1:2" ht="22.5">
      <c r="A1344" s="470">
        <v>2330</v>
      </c>
      <c r="B1344" s="254" t="s">
        <v>1457</v>
      </c>
    </row>
    <row r="1345" spans="1:2" ht="22.5">
      <c r="A1345" s="470">
        <v>2331</v>
      </c>
      <c r="B1345" s="286" t="s">
        <v>733</v>
      </c>
    </row>
    <row r="1346" spans="1:2" ht="15">
      <c r="A1346" s="470">
        <v>2332</v>
      </c>
      <c r="B1346" s="348" t="s">
        <v>966</v>
      </c>
    </row>
    <row r="1347" spans="1:2" ht="22.5">
      <c r="A1347" s="470">
        <v>2333</v>
      </c>
      <c r="B1347" s="254" t="s">
        <v>830</v>
      </c>
    </row>
    <row r="1348" spans="1:2" ht="42">
      <c r="A1348" s="470">
        <v>2334</v>
      </c>
      <c r="B1348" s="255" t="s">
        <v>1476</v>
      </c>
    </row>
    <row r="1349" spans="1:2" ht="15">
      <c r="A1349" s="470">
        <v>2335</v>
      </c>
      <c r="B1349" s="254" t="s">
        <v>1469</v>
      </c>
    </row>
    <row r="1350" spans="1:2" ht="15">
      <c r="A1350" s="470">
        <v>2336</v>
      </c>
      <c r="B1350" s="254" t="s">
        <v>1045</v>
      </c>
    </row>
    <row r="1351" spans="1:2" ht="15">
      <c r="A1351" s="470">
        <v>2337</v>
      </c>
      <c r="B1351" s="303" t="s">
        <v>1471</v>
      </c>
    </row>
    <row r="1352" spans="1:2" ht="15">
      <c r="A1352" s="470">
        <v>2338</v>
      </c>
      <c r="B1352" s="304" t="s">
        <v>1472</v>
      </c>
    </row>
    <row r="1353" spans="1:2" ht="15">
      <c r="A1353" s="470">
        <v>2339</v>
      </c>
      <c r="B1353" s="306" t="s">
        <v>1473</v>
      </c>
    </row>
    <row r="1354" spans="1:2" ht="22.5">
      <c r="A1354" s="470">
        <v>2340</v>
      </c>
      <c r="B1354" s="254" t="s">
        <v>1470</v>
      </c>
    </row>
    <row r="1355" spans="1:2" ht="15">
      <c r="A1355" s="470">
        <v>2341</v>
      </c>
      <c r="B1355" s="304" t="s">
        <v>1474</v>
      </c>
    </row>
    <row r="1356" spans="1:2" ht="15.75" thickBot="1">
      <c r="A1356" s="470">
        <v>2342</v>
      </c>
      <c r="B1356" s="306" t="s">
        <v>1475</v>
      </c>
    </row>
    <row r="1357" spans="1:2" ht="15">
      <c r="A1357" s="470">
        <v>2343</v>
      </c>
      <c r="B1357" s="464" t="s">
        <v>590</v>
      </c>
    </row>
    <row r="1358" spans="1:2" ht="15">
      <c r="A1358" s="470">
        <v>2344</v>
      </c>
      <c r="B1358" s="293" t="s">
        <v>67</v>
      </c>
    </row>
    <row r="1359" spans="1:2" ht="15">
      <c r="A1359" s="470">
        <v>2345</v>
      </c>
      <c r="B1359" s="353" t="s">
        <v>1622</v>
      </c>
    </row>
    <row r="1360" spans="1:2" ht="15">
      <c r="A1360" s="470">
        <v>2346</v>
      </c>
      <c r="B1360" s="295" t="s">
        <v>755</v>
      </c>
    </row>
    <row r="1361" spans="1:2" ht="15">
      <c r="A1361" s="470">
        <v>2347</v>
      </c>
      <c r="B1361" s="295" t="s">
        <v>1731</v>
      </c>
    </row>
    <row r="1362" spans="1:2" ht="15.75">
      <c r="A1362" s="470">
        <v>2348</v>
      </c>
      <c r="B1362" s="12" t="s">
        <v>1626</v>
      </c>
    </row>
    <row r="1363" spans="1:2" ht="15">
      <c r="A1363" s="470">
        <v>2349</v>
      </c>
      <c r="B1363" s="388" t="s">
        <v>1623</v>
      </c>
    </row>
    <row r="1364" spans="1:2" ht="15">
      <c r="A1364" s="470">
        <v>2350</v>
      </c>
      <c r="B1364" s="388" t="s">
        <v>1624</v>
      </c>
    </row>
    <row r="1365" spans="1:2" ht="15">
      <c r="A1365" s="470">
        <v>2351</v>
      </c>
      <c r="B1365" s="388" t="s">
        <v>1625</v>
      </c>
    </row>
    <row r="1366" spans="1:2" ht="15">
      <c r="A1366" s="470">
        <v>2352</v>
      </c>
      <c r="B1366" s="104" t="s">
        <v>1133</v>
      </c>
    </row>
    <row r="1367" spans="1:2" ht="15">
      <c r="A1367" s="470">
        <v>2353</v>
      </c>
      <c r="B1367" s="360" t="s">
        <v>0</v>
      </c>
    </row>
    <row r="1368" spans="1:2" ht="15">
      <c r="A1368" s="470">
        <v>2354</v>
      </c>
      <c r="B1368" s="353" t="s">
        <v>7</v>
      </c>
    </row>
    <row r="1369" spans="1:2" ht="15">
      <c r="A1369" s="470">
        <v>2355</v>
      </c>
      <c r="B1369" s="353" t="s">
        <v>946</v>
      </c>
    </row>
    <row r="1370" spans="1:2" ht="15">
      <c r="A1370" s="470">
        <v>2356</v>
      </c>
      <c r="B1370" s="447" t="s">
        <v>2</v>
      </c>
    </row>
    <row r="1371" spans="1:2" ht="15">
      <c r="A1371" s="470">
        <v>2357</v>
      </c>
      <c r="B1371" s="447" t="s">
        <v>3</v>
      </c>
    </row>
    <row r="1372" spans="1:2" ht="15">
      <c r="A1372" s="470">
        <v>2358</v>
      </c>
      <c r="B1372" s="447" t="s">
        <v>4</v>
      </c>
    </row>
    <row r="1373" spans="1:2" ht="15">
      <c r="A1373" s="470">
        <v>2359</v>
      </c>
      <c r="B1373" s="362" t="s">
        <v>288</v>
      </c>
    </row>
    <row r="1374" spans="1:2" ht="15">
      <c r="A1374" s="470">
        <v>2360</v>
      </c>
      <c r="B1374" s="363" t="s">
        <v>1781</v>
      </c>
    </row>
    <row r="1375" spans="1:2" ht="15">
      <c r="A1375" s="470">
        <v>2361</v>
      </c>
      <c r="B1375" s="362" t="s">
        <v>1782</v>
      </c>
    </row>
    <row r="1376" spans="1:2" ht="15">
      <c r="A1376" s="470">
        <v>2362</v>
      </c>
      <c r="B1376" s="363" t="s">
        <v>1786</v>
      </c>
    </row>
    <row r="1377" spans="1:2" ht="15">
      <c r="A1377" s="470">
        <v>2363</v>
      </c>
      <c r="B1377" s="362" t="s">
        <v>1783</v>
      </c>
    </row>
    <row r="1378" spans="1:2" ht="22.5">
      <c r="A1378" s="470">
        <v>2364</v>
      </c>
      <c r="B1378" s="363" t="s">
        <v>673</v>
      </c>
    </row>
    <row r="1379" spans="1:2" ht="15">
      <c r="A1379" s="470">
        <v>2365</v>
      </c>
      <c r="B1379" s="362" t="s">
        <v>1554</v>
      </c>
    </row>
    <row r="1380" spans="1:2" ht="15">
      <c r="A1380" s="470">
        <v>2366</v>
      </c>
      <c r="B1380" s="363" t="s">
        <v>1555</v>
      </c>
    </row>
    <row r="1381" spans="1:2" ht="15">
      <c r="A1381" s="470">
        <v>2367</v>
      </c>
      <c r="B1381" s="362" t="s">
        <v>1784</v>
      </c>
    </row>
    <row r="1382" spans="1:2" ht="15">
      <c r="A1382" s="470">
        <v>2368</v>
      </c>
      <c r="B1382" s="363" t="s">
        <v>674</v>
      </c>
    </row>
    <row r="1383" spans="1:2" ht="15">
      <c r="A1383" s="470">
        <v>2369</v>
      </c>
      <c r="B1383" s="362" t="s">
        <v>1785</v>
      </c>
    </row>
    <row r="1384" spans="1:2" ht="15">
      <c r="A1384" s="470">
        <v>2370</v>
      </c>
      <c r="B1384" s="363" t="s">
        <v>675</v>
      </c>
    </row>
    <row r="1385" spans="1:2" ht="15">
      <c r="A1385" s="470">
        <v>2371</v>
      </c>
      <c r="B1385" s="362" t="s">
        <v>676</v>
      </c>
    </row>
    <row r="1386" spans="1:2" ht="33.75">
      <c r="A1386" s="470">
        <v>2372</v>
      </c>
      <c r="B1386" s="363" t="s">
        <v>1552</v>
      </c>
    </row>
    <row r="1387" spans="1:2" ht="15">
      <c r="A1387" s="470">
        <v>2373</v>
      </c>
      <c r="B1387" s="362" t="s">
        <v>51</v>
      </c>
    </row>
    <row r="1388" spans="1:2" ht="22.5">
      <c r="A1388" s="470">
        <v>2374</v>
      </c>
      <c r="B1388" s="363" t="s">
        <v>135</v>
      </c>
    </row>
    <row r="1389" spans="1:2" ht="15">
      <c r="A1389" s="470">
        <v>2375</v>
      </c>
      <c r="B1389" s="362" t="s">
        <v>69</v>
      </c>
    </row>
    <row r="1390" spans="1:2" ht="22.5">
      <c r="A1390" s="470">
        <v>2376</v>
      </c>
      <c r="B1390" s="363" t="s">
        <v>1556</v>
      </c>
    </row>
    <row r="1391" spans="1:2" ht="15">
      <c r="A1391" s="470">
        <v>2377</v>
      </c>
      <c r="B1391" s="363" t="s">
        <v>70</v>
      </c>
    </row>
    <row r="1392" spans="1:2" ht="33.75">
      <c r="A1392" s="470">
        <v>2378</v>
      </c>
      <c r="B1392" s="363" t="s">
        <v>1557</v>
      </c>
    </row>
    <row r="1393" spans="1:2" ht="15">
      <c r="A1393" s="470">
        <v>2379</v>
      </c>
      <c r="B1393" s="362" t="s">
        <v>33</v>
      </c>
    </row>
    <row r="1394" spans="1:2" ht="15">
      <c r="A1394" s="470">
        <v>2380</v>
      </c>
      <c r="B1394" s="363" t="s">
        <v>1560</v>
      </c>
    </row>
    <row r="1395" spans="1:2" ht="15">
      <c r="A1395" s="470">
        <v>2381</v>
      </c>
      <c r="B1395" s="362" t="s">
        <v>1558</v>
      </c>
    </row>
    <row r="1396" spans="1:2" ht="15">
      <c r="A1396" s="470">
        <v>2382</v>
      </c>
      <c r="B1396" s="363" t="s">
        <v>1561</v>
      </c>
    </row>
    <row r="1397" spans="1:2" ht="15">
      <c r="A1397" s="470">
        <v>2383</v>
      </c>
      <c r="B1397" s="362" t="s">
        <v>1559</v>
      </c>
    </row>
    <row r="1398" spans="1:2" ht="22.5">
      <c r="A1398" s="470">
        <v>2384</v>
      </c>
      <c r="B1398" s="363" t="s">
        <v>1618</v>
      </c>
    </row>
    <row r="1399" spans="1:2" ht="15">
      <c r="A1399" s="470">
        <v>2385</v>
      </c>
      <c r="B1399" s="362" t="s">
        <v>68</v>
      </c>
    </row>
    <row r="1400" spans="1:2" ht="22.5">
      <c r="A1400" s="470">
        <v>2386</v>
      </c>
      <c r="B1400" s="363" t="s">
        <v>1619</v>
      </c>
    </row>
    <row r="1401" spans="1:2" ht="15">
      <c r="A1401" s="470">
        <v>2387</v>
      </c>
      <c r="B1401" s="353" t="s">
        <v>39</v>
      </c>
    </row>
    <row r="1402" spans="1:2" ht="15">
      <c r="A1402" s="470">
        <v>2388</v>
      </c>
      <c r="B1402" s="399" t="s">
        <v>38</v>
      </c>
    </row>
    <row r="1403" spans="1:2" ht="15">
      <c r="A1403" s="470">
        <v>2389</v>
      </c>
      <c r="B1403" s="446" t="s">
        <v>287</v>
      </c>
    </row>
    <row r="1404" spans="1:2" ht="15">
      <c r="A1404" s="470">
        <v>2390</v>
      </c>
      <c r="B1404" s="446" t="s">
        <v>66</v>
      </c>
    </row>
    <row r="1405" spans="1:2" ht="15.75" thickBot="1">
      <c r="A1405" s="470">
        <v>2391</v>
      </c>
      <c r="B1405" s="446" t="s">
        <v>1553</v>
      </c>
    </row>
    <row r="1406" spans="1:2" ht="15.75" thickBot="1">
      <c r="A1406" s="470">
        <v>2392</v>
      </c>
      <c r="B1406" s="448" t="s">
        <v>70</v>
      </c>
    </row>
    <row r="1407" spans="1:2" ht="15">
      <c r="A1407" s="470">
        <v>2393</v>
      </c>
      <c r="B1407" s="446" t="s">
        <v>948</v>
      </c>
    </row>
    <row r="1408" spans="1:2" ht="15.75">
      <c r="A1408" s="470">
        <v>2394</v>
      </c>
      <c r="B1408" s="12" t="s">
        <v>1627</v>
      </c>
    </row>
    <row r="1409" spans="1:2" ht="45">
      <c r="A1409" s="470">
        <v>2395</v>
      </c>
      <c r="B1409" s="254" t="s">
        <v>841</v>
      </c>
    </row>
    <row r="1410" spans="1:2" ht="15">
      <c r="A1410" s="470">
        <v>2396</v>
      </c>
      <c r="B1410" s="254" t="s">
        <v>840</v>
      </c>
    </row>
    <row r="1411" spans="1:2" ht="15.75" thickBot="1">
      <c r="A1411" s="470">
        <v>2397</v>
      </c>
      <c r="B1411" s="254" t="s">
        <v>1042</v>
      </c>
    </row>
    <row r="1412" spans="1:2" ht="115.5" thickBot="1">
      <c r="A1412" s="470">
        <v>2398</v>
      </c>
      <c r="B1412" s="269" t="s">
        <v>839</v>
      </c>
    </row>
    <row r="1413" spans="1:2" ht="15">
      <c r="A1413" s="470">
        <v>2399</v>
      </c>
      <c r="B1413" s="360" t="s">
        <v>647</v>
      </c>
    </row>
    <row r="1414" spans="1:2" ht="22.5">
      <c r="A1414" s="470">
        <v>2400</v>
      </c>
      <c r="B1414" s="254" t="s">
        <v>117</v>
      </c>
    </row>
    <row r="1415" spans="1:2" ht="15">
      <c r="A1415" s="470">
        <v>2401</v>
      </c>
      <c r="B1415" s="353" t="s">
        <v>646</v>
      </c>
    </row>
    <row r="1416" spans="1:2" ht="22.5">
      <c r="A1416" s="470">
        <v>2402</v>
      </c>
      <c r="B1416" s="254" t="s">
        <v>645</v>
      </c>
    </row>
    <row r="1417" spans="1:2" ht="15">
      <c r="A1417" s="470">
        <v>2403</v>
      </c>
      <c r="B1417" s="15" t="s">
        <v>1633</v>
      </c>
    </row>
    <row r="1418" spans="1:2" ht="22.5">
      <c r="A1418" s="470">
        <v>2404</v>
      </c>
      <c r="B1418" s="254" t="s">
        <v>116</v>
      </c>
    </row>
    <row r="1419" spans="1:2" ht="15">
      <c r="A1419" s="470">
        <v>2405</v>
      </c>
      <c r="B1419" s="360" t="s">
        <v>1634</v>
      </c>
    </row>
    <row r="1420" spans="1:2" ht="15">
      <c r="A1420" s="470">
        <v>2406</v>
      </c>
      <c r="B1420" s="15" t="s">
        <v>1382</v>
      </c>
    </row>
    <row r="1421" spans="1:2" ht="33.75">
      <c r="A1421" s="470">
        <v>2407</v>
      </c>
      <c r="B1421" s="254" t="s">
        <v>120</v>
      </c>
    </row>
    <row r="1422" spans="1:2" ht="33.75">
      <c r="A1422" s="470">
        <v>2408</v>
      </c>
      <c r="B1422" s="254" t="s">
        <v>148</v>
      </c>
    </row>
    <row r="1423" spans="1:2" ht="22.5">
      <c r="A1423" s="470">
        <v>2409</v>
      </c>
      <c r="B1423" s="254" t="s">
        <v>1874</v>
      </c>
    </row>
    <row r="1424" spans="1:2" ht="15">
      <c r="A1424" s="470">
        <v>2410</v>
      </c>
      <c r="B1424" s="446" t="s">
        <v>1871</v>
      </c>
    </row>
    <row r="1425" spans="1:2" ht="15">
      <c r="A1425" s="470">
        <v>2411</v>
      </c>
      <c r="B1425" s="441" t="s">
        <v>1872</v>
      </c>
    </row>
    <row r="1426" spans="1:2" ht="15">
      <c r="A1426" s="470">
        <v>2412</v>
      </c>
      <c r="B1426" s="15" t="s">
        <v>118</v>
      </c>
    </row>
    <row r="1427" spans="1:2" ht="22.5">
      <c r="A1427" s="470">
        <v>2413</v>
      </c>
      <c r="B1427" s="254" t="s">
        <v>149</v>
      </c>
    </row>
    <row r="1428" spans="1:2" ht="15">
      <c r="A1428" s="470">
        <v>2414</v>
      </c>
      <c r="B1428" s="254" t="s">
        <v>119</v>
      </c>
    </row>
    <row r="1429" spans="1:2" ht="33.75">
      <c r="A1429" s="470">
        <v>2415</v>
      </c>
      <c r="B1429" s="254" t="s">
        <v>1010</v>
      </c>
    </row>
    <row r="1430" spans="1:2" ht="15">
      <c r="A1430" s="470">
        <v>2416</v>
      </c>
      <c r="B1430" s="465" t="s">
        <v>430</v>
      </c>
    </row>
    <row r="1431" spans="1:2" ht="15">
      <c r="A1431" s="470">
        <v>2417</v>
      </c>
      <c r="B1431" s="466" t="s">
        <v>195</v>
      </c>
    </row>
    <row r="1432" spans="1:2" ht="15">
      <c r="A1432" s="470">
        <v>2418</v>
      </c>
      <c r="B1432" s="466" t="s">
        <v>198</v>
      </c>
    </row>
    <row r="1433" spans="1:2" ht="15">
      <c r="A1433" s="470">
        <v>2419</v>
      </c>
      <c r="B1433" s="466" t="s">
        <v>199</v>
      </c>
    </row>
    <row r="1434" spans="1:2" ht="15">
      <c r="A1434" s="470">
        <v>2420</v>
      </c>
      <c r="B1434" s="467" t="s">
        <v>1591</v>
      </c>
    </row>
    <row r="1435" spans="1:2" ht="15">
      <c r="A1435" s="470">
        <v>2421</v>
      </c>
      <c r="B1435" s="467" t="s">
        <v>297</v>
      </c>
    </row>
    <row r="1436" spans="1:2" ht="15">
      <c r="A1436" s="470">
        <v>2422</v>
      </c>
      <c r="B1436" s="467" t="s">
        <v>24</v>
      </c>
    </row>
    <row r="1437" spans="1:2" ht="15">
      <c r="A1437" s="470">
        <v>2423</v>
      </c>
      <c r="B1437" s="467" t="s">
        <v>1853</v>
      </c>
    </row>
    <row r="1438" spans="1:2" ht="15">
      <c r="A1438" s="470">
        <v>2424</v>
      </c>
      <c r="B1438" s="467" t="s">
        <v>1497</v>
      </c>
    </row>
    <row r="1439" spans="1:2" ht="15">
      <c r="A1439" s="470">
        <v>2425</v>
      </c>
      <c r="B1439" s="467" t="s">
        <v>606</v>
      </c>
    </row>
    <row r="1440" spans="1:2" ht="15">
      <c r="A1440" s="470">
        <v>2426</v>
      </c>
      <c r="B1440" s="425" t="s">
        <v>757</v>
      </c>
    </row>
    <row r="1441" spans="1:2" ht="15">
      <c r="A1441" s="470">
        <v>2427</v>
      </c>
      <c r="B1441" s="467" t="s">
        <v>44</v>
      </c>
    </row>
    <row r="1442" spans="1:2" ht="15">
      <c r="A1442" s="470">
        <v>2428</v>
      </c>
      <c r="B1442" s="467" t="s">
        <v>1565</v>
      </c>
    </row>
    <row r="1443" spans="1:2" ht="15">
      <c r="A1443" s="470">
        <v>2429</v>
      </c>
      <c r="B1443" s="467" t="s">
        <v>1566</v>
      </c>
    </row>
    <row r="1444" spans="1:2" ht="15">
      <c r="A1444" s="470">
        <v>2430</v>
      </c>
      <c r="B1444" s="467" t="s">
        <v>11</v>
      </c>
    </row>
    <row r="1445" spans="1:2" ht="15">
      <c r="A1445" s="470">
        <v>2431</v>
      </c>
      <c r="B1445" s="467" t="s">
        <v>1281</v>
      </c>
    </row>
    <row r="1446" spans="1:2" ht="15">
      <c r="A1446" s="470">
        <v>2432</v>
      </c>
      <c r="B1446" s="467" t="s">
        <v>64</v>
      </c>
    </row>
    <row r="1447" spans="1:2" ht="15">
      <c r="A1447" s="470">
        <v>2433</v>
      </c>
      <c r="B1447" s="467" t="s">
        <v>41</v>
      </c>
    </row>
    <row r="1448" spans="1:2" ht="15">
      <c r="A1448" s="470">
        <v>2434</v>
      </c>
      <c r="B1448" s="467" t="s">
        <v>962</v>
      </c>
    </row>
    <row r="1449" spans="1:2" ht="15">
      <c r="A1449" s="470">
        <v>2435</v>
      </c>
      <c r="B1449" s="467" t="s">
        <v>963</v>
      </c>
    </row>
    <row r="1450" spans="1:2" ht="15">
      <c r="A1450" s="470">
        <v>2436</v>
      </c>
      <c r="B1450" s="467" t="s">
        <v>1130</v>
      </c>
    </row>
    <row r="1451" spans="1:2" ht="15">
      <c r="A1451" s="470">
        <v>2437</v>
      </c>
      <c r="B1451" s="467" t="s">
        <v>1129</v>
      </c>
    </row>
    <row r="1452" spans="1:2" ht="15">
      <c r="A1452" s="470">
        <v>2438</v>
      </c>
      <c r="B1452" s="425" t="s">
        <v>1631</v>
      </c>
    </row>
    <row r="1453" spans="1:2" ht="15">
      <c r="A1453" s="470">
        <v>2439</v>
      </c>
      <c r="B1453" s="425" t="s">
        <v>716</v>
      </c>
    </row>
    <row r="1454" spans="1:2" ht="15">
      <c r="A1454" s="470">
        <v>2440</v>
      </c>
      <c r="B1454" s="467" t="s">
        <v>1629</v>
      </c>
    </row>
    <row r="1455" spans="1:2" ht="15">
      <c r="A1455" s="470">
        <v>2441</v>
      </c>
      <c r="B1455" s="468" t="s">
        <v>1757</v>
      </c>
    </row>
    <row r="1456" spans="1:2" ht="15">
      <c r="A1456" s="470">
        <v>2442</v>
      </c>
      <c r="B1456" s="468" t="s">
        <v>441</v>
      </c>
    </row>
    <row r="1457" spans="1:2" ht="15">
      <c r="A1457" s="470">
        <v>2443</v>
      </c>
      <c r="B1457" s="468" t="s">
        <v>581</v>
      </c>
    </row>
    <row r="1458" spans="1:2" ht="15">
      <c r="A1458" s="470">
        <v>2444</v>
      </c>
      <c r="B1458" s="425" t="s">
        <v>928</v>
      </c>
    </row>
    <row r="1459" spans="1:2" ht="15">
      <c r="A1459" s="470">
        <v>2445</v>
      </c>
      <c r="B1459" s="425" t="s">
        <v>59</v>
      </c>
    </row>
    <row r="1460" spans="1:2" ht="15">
      <c r="A1460" s="470">
        <v>2446</v>
      </c>
      <c r="B1460" s="425" t="s">
        <v>61</v>
      </c>
    </row>
    <row r="1461" spans="1:2" ht="15">
      <c r="A1461" s="470">
        <v>2447</v>
      </c>
      <c r="B1461" s="425" t="s">
        <v>60</v>
      </c>
    </row>
    <row r="1462" spans="1:2" ht="15">
      <c r="A1462" s="470">
        <v>2448</v>
      </c>
      <c r="B1462" s="425" t="s">
        <v>654</v>
      </c>
    </row>
    <row r="1463" spans="1:2" ht="15">
      <c r="A1463" s="470">
        <v>2449</v>
      </c>
      <c r="B1463" s="425" t="s">
        <v>672</v>
      </c>
    </row>
    <row r="1464" spans="1:2" ht="15">
      <c r="A1464" s="470">
        <v>2450</v>
      </c>
      <c r="B1464" s="425" t="s">
        <v>1935</v>
      </c>
    </row>
    <row r="1465" spans="1:2" ht="15">
      <c r="A1465" s="470">
        <v>2451</v>
      </c>
      <c r="B1465" s="425" t="s">
        <v>843</v>
      </c>
    </row>
    <row r="1466" spans="1:2" ht="15">
      <c r="A1466" s="470">
        <v>2452</v>
      </c>
      <c r="B1466" s="425" t="s">
        <v>1373</v>
      </c>
    </row>
    <row r="1467" spans="1:2" ht="15">
      <c r="A1467" s="470">
        <v>2453</v>
      </c>
      <c r="B1467" s="425" t="s">
        <v>1374</v>
      </c>
    </row>
    <row r="1468" spans="1:2" ht="15">
      <c r="A1468" s="470">
        <v>2454</v>
      </c>
      <c r="B1468" s="425" t="s">
        <v>1632</v>
      </c>
    </row>
    <row r="1469" spans="1:2" ht="15">
      <c r="A1469" s="470">
        <v>2455</v>
      </c>
      <c r="B1469" s="425" t="s">
        <v>283</v>
      </c>
    </row>
    <row r="1470" spans="1:2" ht="15">
      <c r="A1470" s="470">
        <v>2456</v>
      </c>
      <c r="B1470" s="425" t="s">
        <v>284</v>
      </c>
    </row>
    <row r="1471" spans="1:2" ht="15">
      <c r="A1471" s="470">
        <v>2457</v>
      </c>
      <c r="B1471" s="425" t="s">
        <v>943</v>
      </c>
    </row>
    <row r="1472" spans="1:2" ht="15">
      <c r="A1472" s="470">
        <v>2458</v>
      </c>
      <c r="B1472" s="425" t="s">
        <v>1020</v>
      </c>
    </row>
    <row r="1473" spans="1:2" ht="15">
      <c r="A1473" s="470">
        <v>2459</v>
      </c>
      <c r="B1473" s="425" t="s">
        <v>775</v>
      </c>
    </row>
    <row r="1474" spans="1:2" ht="15">
      <c r="A1474" s="470">
        <v>2460</v>
      </c>
      <c r="B1474" s="425" t="s">
        <v>1852</v>
      </c>
    </row>
    <row r="1475" spans="1:2" ht="15">
      <c r="A1475" s="470">
        <v>2461</v>
      </c>
      <c r="B1475" s="425" t="s">
        <v>1875</v>
      </c>
    </row>
    <row r="1476" spans="1:2" ht="15">
      <c r="A1476" s="470">
        <v>2462</v>
      </c>
      <c r="B1476" s="425" t="s">
        <v>1078</v>
      </c>
    </row>
    <row r="1477" spans="1:2" ht="15">
      <c r="A1477" s="470">
        <v>2463</v>
      </c>
      <c r="B1477" s="425" t="s">
        <v>2033</v>
      </c>
    </row>
    <row r="1478" spans="1:2" ht="15">
      <c r="A1478" s="470">
        <v>2464</v>
      </c>
      <c r="B1478" s="425" t="s">
        <v>1039</v>
      </c>
    </row>
    <row r="1479" spans="1:2" ht="15">
      <c r="A1479" s="470">
        <v>2465</v>
      </c>
      <c r="B1479" s="425" t="s">
        <v>671</v>
      </c>
    </row>
    <row r="1480" spans="1:2" ht="15">
      <c r="A1480" s="470">
        <v>2466</v>
      </c>
      <c r="B1480" s="425" t="s">
        <v>1079</v>
      </c>
    </row>
    <row r="1481" spans="1:2" ht="15">
      <c r="A1481" s="474">
        <v>2467</v>
      </c>
      <c r="B1481" s="370" t="s">
        <v>927</v>
      </c>
    </row>
    <row r="1482" spans="1:2" ht="15">
      <c r="A1482" s="474">
        <v>2468</v>
      </c>
      <c r="B1482" s="370" t="s">
        <v>618</v>
      </c>
    </row>
    <row r="1483" spans="1:2" ht="25.5">
      <c r="A1483" s="474">
        <v>2469</v>
      </c>
      <c r="B1483" s="249" t="s">
        <v>1645</v>
      </c>
    </row>
    <row r="1484" spans="1:2" ht="25.5">
      <c r="A1484" s="474">
        <v>2470</v>
      </c>
      <c r="B1484" s="285" t="s">
        <v>338</v>
      </c>
    </row>
    <row r="1485" spans="1:2" ht="22.5">
      <c r="A1485" s="474">
        <v>2471</v>
      </c>
      <c r="B1485" s="254" t="s">
        <v>340</v>
      </c>
    </row>
    <row r="1486" spans="1:2" ht="15">
      <c r="A1486" s="474">
        <v>2472</v>
      </c>
      <c r="B1486" s="258" t="s">
        <v>344</v>
      </c>
    </row>
    <row r="1487" spans="1:2" ht="22.5">
      <c r="A1487" s="474">
        <v>2473</v>
      </c>
      <c r="B1487" s="254" t="s">
        <v>345</v>
      </c>
    </row>
    <row r="1488" spans="1:2" ht="15">
      <c r="A1488" s="474">
        <v>2474</v>
      </c>
      <c r="B1488" s="318" t="s">
        <v>617</v>
      </c>
    </row>
    <row r="1489" spans="1:2" ht="15">
      <c r="A1489" s="474">
        <v>2475</v>
      </c>
      <c r="B1489" s="159" t="s">
        <v>1636</v>
      </c>
    </row>
    <row r="1490" spans="1:2" ht="15">
      <c r="A1490" s="474">
        <v>2476</v>
      </c>
      <c r="B1490" s="370" t="s">
        <v>693</v>
      </c>
    </row>
    <row r="1491" spans="1:2" ht="15">
      <c r="A1491" s="474">
        <v>2477</v>
      </c>
      <c r="B1491" s="370" t="s">
        <v>694</v>
      </c>
    </row>
    <row r="1492" spans="1:6" ht="15">
      <c r="A1492" s="470">
        <v>2478</v>
      </c>
      <c r="B1492" s="493" t="s">
        <v>2005</v>
      </c>
      <c r="C1492" s="494"/>
      <c r="D1492" s="494"/>
      <c r="E1492" s="494"/>
      <c r="F1492" s="495"/>
    </row>
    <row r="1493" spans="1:6" ht="30">
      <c r="A1493" s="470">
        <v>2479</v>
      </c>
      <c r="B1493" s="493" t="s">
        <v>2006</v>
      </c>
      <c r="C1493" s="494"/>
      <c r="D1493" s="494"/>
      <c r="E1493" s="494"/>
      <c r="F1493" s="495"/>
    </row>
    <row r="1494" spans="1:6" ht="15">
      <c r="A1494" s="470">
        <v>2480</v>
      </c>
      <c r="B1494" s="493" t="s">
        <v>2007</v>
      </c>
      <c r="C1494" s="494"/>
      <c r="D1494" s="494"/>
      <c r="E1494" s="494"/>
      <c r="F1494" s="495"/>
    </row>
    <row r="1495" spans="1:2" ht="15">
      <c r="A1495" s="470">
        <v>2481</v>
      </c>
      <c r="B1495" s="159" t="s">
        <v>1963</v>
      </c>
    </row>
    <row r="1496" spans="1:2" ht="15">
      <c r="A1496" s="470">
        <v>2482</v>
      </c>
      <c r="B1496" s="159" t="s">
        <v>1964</v>
      </c>
    </row>
    <row r="1497" spans="1:2" ht="15">
      <c r="A1497" s="470">
        <v>2483</v>
      </c>
      <c r="B1497" s="159" t="s">
        <v>1976</v>
      </c>
    </row>
    <row r="1498" spans="1:2" ht="15">
      <c r="A1498" s="470">
        <v>2484</v>
      </c>
      <c r="B1498" s="159" t="s">
        <v>1988</v>
      </c>
    </row>
    <row r="1499" spans="1:2" ht="15">
      <c r="A1499" s="470">
        <v>2485</v>
      </c>
      <c r="B1499" s="159" t="s">
        <v>1990</v>
      </c>
    </row>
    <row r="1500" spans="1:2" ht="15">
      <c r="A1500" s="470">
        <v>2486</v>
      </c>
      <c r="B1500" s="159" t="s">
        <v>1999</v>
      </c>
    </row>
    <row r="1501" spans="1:2" ht="15">
      <c r="A1501" s="470">
        <v>2487</v>
      </c>
      <c r="B1501" s="159" t="s">
        <v>2000</v>
      </c>
    </row>
    <row r="1502" spans="1:2" ht="15">
      <c r="A1502" s="470">
        <v>2488</v>
      </c>
      <c r="B1502" s="159" t="s">
        <v>1996</v>
      </c>
    </row>
    <row r="1503" spans="1:2" ht="15">
      <c r="A1503" s="470">
        <v>2489</v>
      </c>
      <c r="B1503" s="159" t="s">
        <v>1997</v>
      </c>
    </row>
    <row r="1504" spans="1:2" ht="15">
      <c r="A1504" s="470">
        <v>2490</v>
      </c>
      <c r="B1504" s="159" t="s">
        <v>2014</v>
      </c>
    </row>
    <row r="1505" spans="1:2" ht="15.75">
      <c r="A1505" s="470">
        <v>2491</v>
      </c>
      <c r="B1505" s="384" t="s">
        <v>2013</v>
      </c>
    </row>
    <row r="1506" spans="1:2" ht="15.75">
      <c r="A1506" s="470">
        <v>2492</v>
      </c>
      <c r="B1506" s="384" t="s">
        <v>2012</v>
      </c>
    </row>
    <row r="1507" spans="1:4" ht="15">
      <c r="A1507" s="470">
        <v>2493</v>
      </c>
      <c r="B1507" s="425" t="s">
        <v>1759</v>
      </c>
      <c r="D1507" s="973"/>
    </row>
    <row r="1508" spans="1:4" ht="52.5">
      <c r="A1508" s="470">
        <v>2494</v>
      </c>
      <c r="B1508" s="449" t="s">
        <v>2017</v>
      </c>
      <c r="D1508" s="973"/>
    </row>
    <row r="1509" spans="1:4" ht="15">
      <c r="A1509" s="470">
        <v>2495</v>
      </c>
      <c r="B1509" s="974" t="s">
        <v>2015</v>
      </c>
      <c r="D1509" s="973"/>
    </row>
    <row r="1510" spans="1:4" ht="63.75">
      <c r="A1510" s="470">
        <v>2496</v>
      </c>
      <c r="B1510" s="630" t="s">
        <v>2022</v>
      </c>
      <c r="D1510" s="973"/>
    </row>
    <row r="1511" spans="1:4" ht="25.5">
      <c r="A1511" s="470">
        <v>2497</v>
      </c>
      <c r="B1511" s="249" t="s">
        <v>2023</v>
      </c>
      <c r="D1511" s="973"/>
    </row>
    <row r="1512" spans="1:4" ht="25.5">
      <c r="A1512" s="470">
        <v>2498</v>
      </c>
      <c r="B1512" s="249" t="s">
        <v>2024</v>
      </c>
      <c r="D1512" s="973"/>
    </row>
    <row r="1513" spans="1:4" ht="38.25">
      <c r="A1513" s="470">
        <v>2499</v>
      </c>
      <c r="B1513" s="249" t="s">
        <v>2025</v>
      </c>
      <c r="D1513" s="973"/>
    </row>
    <row r="1514" spans="1:4" ht="25.5">
      <c r="A1514" s="470">
        <v>2500</v>
      </c>
      <c r="B1514" s="630" t="s">
        <v>2026</v>
      </c>
      <c r="D1514" s="973"/>
    </row>
    <row r="1515" spans="1:4" ht="76.5">
      <c r="A1515" s="470">
        <v>2501</v>
      </c>
      <c r="B1515" s="249" t="s">
        <v>2027</v>
      </c>
      <c r="D1515" s="973"/>
    </row>
    <row r="1516" spans="1:4" ht="38.25">
      <c r="A1516" s="470">
        <v>2502</v>
      </c>
      <c r="B1516" s="630" t="s">
        <v>2028</v>
      </c>
      <c r="D1516" s="973"/>
    </row>
    <row r="1517" spans="1:4" ht="25.5">
      <c r="A1517" s="470">
        <v>2503</v>
      </c>
      <c r="B1517" s="249" t="s">
        <v>2029</v>
      </c>
      <c r="D1517" s="973"/>
    </row>
    <row r="1518" spans="1:4" ht="38.25">
      <c r="A1518" s="470">
        <v>2504</v>
      </c>
      <c r="B1518" s="249" t="s">
        <v>2030</v>
      </c>
      <c r="D1518" s="973"/>
    </row>
    <row r="1519" spans="1:4" ht="51">
      <c r="A1519" s="470">
        <v>2505</v>
      </c>
      <c r="B1519" s="249" t="s">
        <v>2031</v>
      </c>
      <c r="D1519" s="973"/>
    </row>
    <row r="1520" spans="1:4" ht="25.5">
      <c r="A1520" s="470">
        <v>2506</v>
      </c>
      <c r="B1520" s="249" t="s">
        <v>2032</v>
      </c>
      <c r="D1520" s="973"/>
    </row>
    <row r="1521" spans="1:4" ht="38.25">
      <c r="A1521" s="470">
        <v>2507</v>
      </c>
      <c r="B1521" s="249" t="s">
        <v>2020</v>
      </c>
      <c r="D1521" s="973"/>
    </row>
    <row r="1522" spans="1:4" ht="15">
      <c r="A1522" s="470">
        <v>2508</v>
      </c>
      <c r="B1522" s="975" t="s">
        <v>2054</v>
      </c>
      <c r="D1522" s="973"/>
    </row>
    <row r="1523" spans="1:4" ht="45">
      <c r="A1523" s="470">
        <v>2509</v>
      </c>
      <c r="B1523" s="976" t="s">
        <v>2055</v>
      </c>
      <c r="D1523" s="973"/>
    </row>
    <row r="1524" spans="1:4" ht="15">
      <c r="A1524" s="470">
        <v>2510</v>
      </c>
      <c r="B1524" s="281" t="s">
        <v>1993</v>
      </c>
      <c r="D1524" s="973"/>
    </row>
    <row r="1525" spans="1:4" ht="15">
      <c r="A1525" s="470">
        <v>2511</v>
      </c>
      <c r="B1525" s="975" t="s">
        <v>1979</v>
      </c>
      <c r="D1525" s="973"/>
    </row>
    <row r="1526" spans="1:4" ht="22.5">
      <c r="A1526" s="470">
        <v>2512</v>
      </c>
      <c r="B1526" s="976" t="s">
        <v>1957</v>
      </c>
      <c r="D1526" s="973"/>
    </row>
    <row r="1527" spans="1:4" ht="22.5">
      <c r="A1527" s="470">
        <v>2513</v>
      </c>
      <c r="B1527" s="976" t="s">
        <v>1982</v>
      </c>
      <c r="D1527" s="973"/>
    </row>
    <row r="1528" spans="1:4" ht="31.5">
      <c r="A1528" s="470">
        <v>2514</v>
      </c>
      <c r="B1528" s="255" t="s">
        <v>1992</v>
      </c>
      <c r="D1528" s="973"/>
    </row>
    <row r="1529" spans="1:4" ht="15">
      <c r="A1529" s="470">
        <v>2515</v>
      </c>
      <c r="B1529" s="262" t="s">
        <v>1991</v>
      </c>
      <c r="D1529" s="973"/>
    </row>
    <row r="1530" spans="1:4" ht="21">
      <c r="A1530" s="470">
        <v>2516</v>
      </c>
      <c r="B1530" s="255" t="s">
        <v>2035</v>
      </c>
      <c r="D1530" s="973"/>
    </row>
    <row r="1531" spans="1:4" ht="22.5">
      <c r="A1531" s="470">
        <v>2517</v>
      </c>
      <c r="B1531" s="254" t="s">
        <v>2001</v>
      </c>
      <c r="D1531" s="973"/>
    </row>
    <row r="1532" spans="1:4" ht="22.5">
      <c r="A1532" s="470">
        <v>2518</v>
      </c>
      <c r="B1532" s="254" t="s">
        <v>2003</v>
      </c>
      <c r="D1532" s="973"/>
    </row>
    <row r="1533" spans="1:4" ht="22.5">
      <c r="A1533" s="470">
        <v>2519</v>
      </c>
      <c r="B1533" s="254" t="s">
        <v>2002</v>
      </c>
      <c r="D1533" s="973"/>
    </row>
    <row r="1534" spans="1:4" ht="21">
      <c r="A1534" s="470">
        <v>2520</v>
      </c>
      <c r="B1534" s="255" t="s">
        <v>2004</v>
      </c>
      <c r="D1534" s="973"/>
    </row>
    <row r="1535" spans="1:4" ht="22.5">
      <c r="A1535" s="470">
        <v>2521</v>
      </c>
      <c r="B1535" s="254" t="s">
        <v>2037</v>
      </c>
      <c r="D1535" s="973"/>
    </row>
    <row r="1536" spans="1:4" ht="22.5">
      <c r="A1536" s="470">
        <v>2522</v>
      </c>
      <c r="B1536" s="254" t="s">
        <v>2036</v>
      </c>
      <c r="D1536" s="973"/>
    </row>
    <row r="1537" spans="1:4" ht="15">
      <c r="A1537" s="470">
        <v>2523</v>
      </c>
      <c r="B1537" s="258" t="s">
        <v>2039</v>
      </c>
      <c r="D1537" s="973"/>
    </row>
    <row r="1538" spans="1:4" ht="22.5">
      <c r="A1538" s="470">
        <v>2524</v>
      </c>
      <c r="B1538" s="254" t="s">
        <v>2042</v>
      </c>
      <c r="D1538" s="973"/>
    </row>
    <row r="1539" spans="1:4" ht="15">
      <c r="A1539" s="470">
        <v>2525</v>
      </c>
      <c r="B1539" s="254" t="s">
        <v>2043</v>
      </c>
      <c r="D1539" s="973"/>
    </row>
    <row r="1540" spans="1:4" ht="15">
      <c r="A1540" s="470">
        <v>2526</v>
      </c>
      <c r="B1540" s="631" t="s">
        <v>2040</v>
      </c>
      <c r="D1540" s="973"/>
    </row>
    <row r="1541" spans="1:4" ht="15">
      <c r="A1541" s="470">
        <v>2527</v>
      </c>
      <c r="B1541" s="632" t="s">
        <v>2044</v>
      </c>
      <c r="D1541" s="973"/>
    </row>
    <row r="1542" spans="1:4" ht="15">
      <c r="A1542" s="470">
        <v>2528</v>
      </c>
      <c r="B1542" s="633" t="s">
        <v>2041</v>
      </c>
      <c r="D1542" s="973"/>
    </row>
    <row r="1543" spans="1:4" ht="15">
      <c r="A1543" s="470">
        <v>2529</v>
      </c>
      <c r="B1543" s="631" t="s">
        <v>2047</v>
      </c>
      <c r="D1543" s="973"/>
    </row>
    <row r="1544" spans="1:4" ht="15">
      <c r="A1544" s="470">
        <v>2530</v>
      </c>
      <c r="B1544" s="633" t="s">
        <v>2048</v>
      </c>
      <c r="D1544" s="973"/>
    </row>
    <row r="1545" spans="1:4" ht="15">
      <c r="A1545" s="470">
        <v>2531</v>
      </c>
      <c r="B1545" s="631" t="s">
        <v>2050</v>
      </c>
      <c r="D1545" s="973"/>
    </row>
    <row r="1546" spans="1:4" ht="15">
      <c r="A1546" s="470">
        <v>2532</v>
      </c>
      <c r="B1546" s="632" t="s">
        <v>2049</v>
      </c>
      <c r="D1546" s="973"/>
    </row>
    <row r="1547" spans="1:4" ht="15">
      <c r="A1547" s="470">
        <v>2533</v>
      </c>
      <c r="B1547" s="633" t="s">
        <v>1985</v>
      </c>
      <c r="D1547" s="973"/>
    </row>
    <row r="1548" spans="1:4" ht="21">
      <c r="A1548" s="470">
        <v>2534</v>
      </c>
      <c r="B1548" s="255" t="s">
        <v>2051</v>
      </c>
      <c r="D1548" s="973"/>
    </row>
    <row r="1549" spans="1:4" ht="15">
      <c r="A1549" s="470">
        <v>2535</v>
      </c>
      <c r="B1549" s="631" t="s">
        <v>1983</v>
      </c>
      <c r="D1549" s="973"/>
    </row>
    <row r="1550" spans="1:4" ht="15">
      <c r="A1550" s="470">
        <v>2536</v>
      </c>
      <c r="B1550" s="632" t="s">
        <v>1984</v>
      </c>
      <c r="D1550" s="973"/>
    </row>
    <row r="1551" spans="1:4" ht="21">
      <c r="A1551" s="470">
        <v>2537</v>
      </c>
      <c r="B1551" s="255" t="s">
        <v>2046</v>
      </c>
      <c r="D1551" s="973"/>
    </row>
    <row r="1552" spans="1:4" ht="21">
      <c r="A1552" s="470">
        <v>2538</v>
      </c>
      <c r="B1552" s="255" t="s">
        <v>2052</v>
      </c>
      <c r="D1552" s="973"/>
    </row>
    <row r="1553" spans="1:4" ht="15">
      <c r="A1553" s="470">
        <v>2539</v>
      </c>
      <c r="B1553" s="37" t="s">
        <v>201</v>
      </c>
      <c r="D1553" s="973"/>
    </row>
    <row r="1554" spans="1:4" ht="15">
      <c r="A1554" s="470">
        <v>2540</v>
      </c>
      <c r="B1554" s="977" t="s">
        <v>202</v>
      </c>
      <c r="D1554" s="973"/>
    </row>
    <row r="1555" spans="1:4" ht="15">
      <c r="A1555" s="470">
        <v>2541</v>
      </c>
      <c r="B1555" s="977" t="s">
        <v>273</v>
      </c>
      <c r="D1555" s="973"/>
    </row>
    <row r="1556" spans="1:4" ht="15">
      <c r="A1556" s="470">
        <v>2542</v>
      </c>
      <c r="B1556" s="424" t="s">
        <v>274</v>
      </c>
      <c r="D1556" s="973"/>
    </row>
    <row r="1557" spans="1:4" ht="15">
      <c r="A1557" s="470">
        <v>2543</v>
      </c>
      <c r="B1557" s="977" t="s">
        <v>2034</v>
      </c>
      <c r="D1557" s="973"/>
    </row>
    <row r="1558" spans="1:4" ht="15">
      <c r="A1558" s="470">
        <v>2544</v>
      </c>
      <c r="B1558" s="424" t="s">
        <v>457</v>
      </c>
      <c r="D1558" s="973"/>
    </row>
    <row r="1559" spans="1:4" ht="15">
      <c r="A1559" s="470">
        <v>2545</v>
      </c>
      <c r="B1559" s="424" t="s">
        <v>458</v>
      </c>
      <c r="D1559" s="973"/>
    </row>
    <row r="1560" spans="1:4" ht="15.75" thickBot="1">
      <c r="A1560" s="470">
        <v>2546</v>
      </c>
      <c r="B1560" s="977" t="s">
        <v>1743</v>
      </c>
      <c r="D1560" s="973"/>
    </row>
    <row r="1561" spans="1:4" ht="15.75" thickBot="1">
      <c r="A1561" s="470">
        <v>2547</v>
      </c>
      <c r="B1561" s="978" t="s">
        <v>1744</v>
      </c>
      <c r="D1561" s="973"/>
    </row>
    <row r="1562" spans="1:4" ht="15.75" thickBot="1">
      <c r="A1562" s="470">
        <v>2548</v>
      </c>
      <c r="B1562" s="979" t="s">
        <v>1745</v>
      </c>
      <c r="D1562" s="973"/>
    </row>
    <row r="1563" spans="1:4" ht="15.75" thickBot="1">
      <c r="A1563" s="470">
        <v>2549</v>
      </c>
      <c r="B1563" s="978" t="s">
        <v>1746</v>
      </c>
      <c r="D1563" s="973"/>
    </row>
    <row r="1564" spans="1:4" ht="15">
      <c r="A1564" s="470">
        <v>2550</v>
      </c>
      <c r="B1564" s="980" t="s">
        <v>1438</v>
      </c>
      <c r="D1564" s="973"/>
    </row>
    <row r="1565" spans="1:4" ht="15">
      <c r="A1565" s="470">
        <v>2551</v>
      </c>
      <c r="B1565" s="424" t="s">
        <v>459</v>
      </c>
      <c r="D1565" s="973"/>
    </row>
    <row r="1566" spans="1:4" ht="15.75" thickBot="1">
      <c r="A1566" s="470">
        <v>2552</v>
      </c>
      <c r="B1566" s="424" t="s">
        <v>460</v>
      </c>
      <c r="D1566" s="973"/>
    </row>
    <row r="1567" spans="1:4" ht="15">
      <c r="A1567" s="470">
        <v>2553</v>
      </c>
      <c r="B1567" s="290" t="s">
        <v>1994</v>
      </c>
      <c r="D1567" s="973"/>
    </row>
    <row r="1568" spans="1:4" ht="18">
      <c r="A1568" s="470">
        <v>2554</v>
      </c>
      <c r="B1568" s="283" t="s">
        <v>2008</v>
      </c>
      <c r="D1568" s="973"/>
    </row>
    <row r="1569" spans="1:4" ht="15.75">
      <c r="A1569" s="470">
        <v>2555</v>
      </c>
      <c r="B1569" s="367" t="s">
        <v>2009</v>
      </c>
      <c r="D1569" s="973"/>
    </row>
    <row r="1570" spans="1:4" ht="15">
      <c r="A1570" s="470">
        <v>2556</v>
      </c>
      <c r="B1570" s="258" t="s">
        <v>1959</v>
      </c>
      <c r="D1570" s="973"/>
    </row>
    <row r="1571" spans="1:4" ht="22.5">
      <c r="A1571" s="470">
        <v>2557</v>
      </c>
      <c r="B1571" s="254" t="s">
        <v>1958</v>
      </c>
      <c r="D1571" s="973"/>
    </row>
    <row r="1572" spans="1:4" ht="15">
      <c r="A1572" s="470">
        <v>2558</v>
      </c>
      <c r="B1572" s="258" t="s">
        <v>1980</v>
      </c>
      <c r="D1572" s="973"/>
    </row>
    <row r="1573" spans="1:4" ht="22.5">
      <c r="A1573" s="470">
        <v>2559</v>
      </c>
      <c r="B1573" s="254" t="s">
        <v>1981</v>
      </c>
      <c r="D1573" s="973"/>
    </row>
    <row r="1574" spans="1:4" ht="15">
      <c r="A1574" s="470">
        <v>2560</v>
      </c>
      <c r="B1574" s="258" t="s">
        <v>1960</v>
      </c>
      <c r="D1574" s="973"/>
    </row>
    <row r="1575" spans="1:4" ht="22.5">
      <c r="A1575" s="470">
        <v>2561</v>
      </c>
      <c r="B1575" s="254" t="s">
        <v>1961</v>
      </c>
      <c r="D1575" s="973"/>
    </row>
    <row r="1576" spans="1:4" ht="34.5" thickBot="1">
      <c r="A1576" s="470">
        <v>2562</v>
      </c>
      <c r="B1576" s="254" t="s">
        <v>1962</v>
      </c>
      <c r="D1576" s="973"/>
    </row>
    <row r="1577" spans="1:4" ht="15">
      <c r="A1577" s="470">
        <v>2563</v>
      </c>
      <c r="B1577" s="290" t="s">
        <v>2011</v>
      </c>
      <c r="D1577" s="973"/>
    </row>
    <row r="1578" spans="1:4" ht="18">
      <c r="A1578" s="470">
        <v>2564</v>
      </c>
      <c r="B1578" s="283" t="s">
        <v>2010</v>
      </c>
      <c r="D1578" s="973"/>
    </row>
    <row r="1579" spans="1:4" ht="15.75">
      <c r="A1579" s="470">
        <v>2565</v>
      </c>
      <c r="B1579" s="367" t="s">
        <v>1977</v>
      </c>
      <c r="D1579" s="973"/>
    </row>
    <row r="1580" spans="1:4" ht="22.5">
      <c r="A1580" s="470">
        <v>2566</v>
      </c>
      <c r="B1580" s="254" t="s">
        <v>1978</v>
      </c>
      <c r="D1580" s="973"/>
    </row>
    <row r="1581" spans="1:4" ht="15">
      <c r="A1581" s="470">
        <v>2567</v>
      </c>
      <c r="B1581" s="445" t="s">
        <v>1966</v>
      </c>
      <c r="D1581" s="973"/>
    </row>
    <row r="1582" spans="1:4" ht="15">
      <c r="A1582" s="470">
        <v>2568</v>
      </c>
      <c r="B1582" s="981" t="s">
        <v>1967</v>
      </c>
      <c r="D1582" s="973"/>
    </row>
    <row r="1583" spans="1:4" ht="15">
      <c r="A1583" s="470">
        <v>2569</v>
      </c>
      <c r="B1583" s="982" t="s">
        <v>1965</v>
      </c>
      <c r="D1583" s="973"/>
    </row>
    <row r="1584" spans="1:4" ht="15">
      <c r="A1584" s="470">
        <v>2570</v>
      </c>
      <c r="B1584" s="311" t="s">
        <v>1970</v>
      </c>
      <c r="D1584" s="973"/>
    </row>
    <row r="1585" spans="1:4" ht="15.75" thickBot="1">
      <c r="A1585" s="470">
        <v>2571</v>
      </c>
      <c r="B1585" s="983" t="s">
        <v>1969</v>
      </c>
      <c r="D1585" s="973"/>
    </row>
    <row r="1586" spans="1:4" ht="15">
      <c r="A1586" s="470">
        <v>2572</v>
      </c>
      <c r="B1586" s="290" t="s">
        <v>1995</v>
      </c>
      <c r="D1586" s="973"/>
    </row>
    <row r="1587" spans="1:4" ht="18">
      <c r="A1587" s="470">
        <v>2573</v>
      </c>
      <c r="B1587" s="283" t="s">
        <v>2016</v>
      </c>
      <c r="D1587" s="973"/>
    </row>
    <row r="1588" spans="1:4" ht="15.75">
      <c r="A1588" s="470">
        <v>2574</v>
      </c>
      <c r="B1588" s="367" t="s">
        <v>1986</v>
      </c>
      <c r="D1588" s="973"/>
    </row>
    <row r="1589" spans="1:4" ht="15.75">
      <c r="A1589" s="470">
        <v>2575</v>
      </c>
      <c r="B1589" s="455" t="s">
        <v>2019</v>
      </c>
      <c r="D1589" s="973"/>
    </row>
    <row r="1590" spans="1:4" ht="15">
      <c r="A1590" s="470">
        <v>2576</v>
      </c>
      <c r="B1590" s="330" t="s">
        <v>2018</v>
      </c>
      <c r="D1590" s="973"/>
    </row>
    <row r="1591" spans="1:4" ht="15">
      <c r="A1591" s="470">
        <v>2577</v>
      </c>
      <c r="B1591" s="330" t="s">
        <v>2038</v>
      </c>
      <c r="D1591" s="973"/>
    </row>
    <row r="1592" spans="1:4" ht="15">
      <c r="A1592" s="470">
        <v>2578</v>
      </c>
      <c r="B1592" s="984" t="s">
        <v>1972</v>
      </c>
      <c r="D1592" s="973"/>
    </row>
    <row r="1593" spans="1:4" ht="15">
      <c r="A1593" s="470">
        <v>2579</v>
      </c>
      <c r="B1593" s="985" t="s">
        <v>1987</v>
      </c>
      <c r="D1593" s="973"/>
    </row>
    <row r="1594" spans="1:4" ht="15">
      <c r="A1594" s="470">
        <v>2580</v>
      </c>
      <c r="B1594" s="985" t="s">
        <v>1989</v>
      </c>
      <c r="D1594" s="973"/>
    </row>
    <row r="1595" spans="1:4" ht="15">
      <c r="A1595" s="470">
        <v>2581</v>
      </c>
      <c r="B1595" s="986" t="s">
        <v>1030</v>
      </c>
      <c r="D1595" s="973"/>
    </row>
    <row r="1596" spans="1:4" ht="15">
      <c r="A1596" s="470">
        <v>2582</v>
      </c>
      <c r="B1596" s="468" t="s">
        <v>851</v>
      </c>
      <c r="D1596" s="973"/>
    </row>
    <row r="1597" spans="1:4" ht="15">
      <c r="A1597" s="470">
        <v>2583</v>
      </c>
      <c r="B1597" s="468" t="s">
        <v>1898</v>
      </c>
      <c r="D1597" s="973"/>
    </row>
    <row r="1598" spans="1:4" ht="15">
      <c r="A1598" s="470">
        <v>2584</v>
      </c>
      <c r="B1598" s="986" t="s">
        <v>1897</v>
      </c>
      <c r="D1598" s="973"/>
    </row>
    <row r="1599" spans="1:4" ht="15">
      <c r="A1599" s="470">
        <v>2585</v>
      </c>
      <c r="B1599" s="987" t="s">
        <v>1900</v>
      </c>
      <c r="D1599" s="973"/>
    </row>
    <row r="1600" spans="1:4" ht="15">
      <c r="A1600" s="470">
        <v>2586</v>
      </c>
      <c r="B1600" s="987" t="s">
        <v>1901</v>
      </c>
      <c r="D1600" s="973"/>
    </row>
    <row r="1601" spans="1:4" ht="15">
      <c r="A1601" s="470">
        <v>2587</v>
      </c>
      <c r="B1601" s="987" t="s">
        <v>1902</v>
      </c>
      <c r="D1601" s="973"/>
    </row>
    <row r="1602" spans="1:4" ht="15">
      <c r="A1602" s="470">
        <v>2588</v>
      </c>
      <c r="B1602" s="987" t="s">
        <v>1903</v>
      </c>
      <c r="D1602" s="973"/>
    </row>
    <row r="1603" spans="1:4" ht="15">
      <c r="A1603" s="470">
        <v>2589</v>
      </c>
      <c r="B1603" s="987" t="s">
        <v>1904</v>
      </c>
      <c r="D1603" s="973"/>
    </row>
    <row r="1604" spans="1:4" ht="15">
      <c r="A1604" s="470">
        <v>2590</v>
      </c>
      <c r="B1604" s="987" t="s">
        <v>874</v>
      </c>
      <c r="D1604" s="973"/>
    </row>
    <row r="1605" spans="1:4" ht="15">
      <c r="A1605" s="470">
        <v>2591</v>
      </c>
      <c r="B1605" s="988" t="s">
        <v>686</v>
      </c>
      <c r="D1605" s="973"/>
    </row>
    <row r="1606" spans="1:4" ht="15">
      <c r="A1606" s="470">
        <v>2592</v>
      </c>
      <c r="B1606" s="989" t="s">
        <v>289</v>
      </c>
      <c r="D1606" s="973"/>
    </row>
    <row r="1607" spans="1:4" ht="15">
      <c r="A1607" s="470">
        <v>2593</v>
      </c>
      <c r="B1607" s="131" t="s">
        <v>164</v>
      </c>
      <c r="D1607" s="973"/>
    </row>
  </sheetData>
  <sheetProtection sheet="1" objects="1" scenarios="1" formatCells="0" formatColumns="0" formatRows="0"/>
  <autoFilter ref="A1:C1491"/>
  <conditionalFormatting sqref="B337">
    <cfRule type="expression" priority="2" dxfId="1" stopIfTrue="1">
      <formula>CNTR_HasErrors_A</formula>
    </cfRule>
  </conditionalFormatting>
  <conditionalFormatting sqref="B342">
    <cfRule type="expression" priority="3" dxfId="1" stopIfTrue="1">
      <formula>$E$399</formula>
    </cfRule>
  </conditionalFormatting>
  <conditionalFormatting sqref="B672">
    <cfRule type="expression" priority="7" dxfId="1" stopIfTrue="1">
      <formula>$E$1109</formula>
    </cfRule>
  </conditionalFormatting>
  <conditionalFormatting sqref="B711">
    <cfRule type="expression" priority="8" dxfId="1" stopIfTrue="1">
      <formula>$E$555</formula>
    </cfRule>
  </conditionalFormatting>
  <conditionalFormatting sqref="B712">
    <cfRule type="expression" priority="9" dxfId="1" stopIfTrue="1">
      <formula>$E$550</formula>
    </cfRule>
  </conditionalFormatting>
  <conditionalFormatting sqref="B713">
    <cfRule type="expression" priority="10" dxfId="1" stopIfTrue="1">
      <formula>Translations!#REF!</formula>
    </cfRule>
  </conditionalFormatting>
  <conditionalFormatting sqref="B714">
    <cfRule type="expression" priority="11" dxfId="1" stopIfTrue="1">
      <formula>$E$551</formula>
    </cfRule>
  </conditionalFormatting>
  <conditionalFormatting sqref="B715">
    <cfRule type="expression" priority="12" dxfId="1" stopIfTrue="1">
      <formula>$E$552</formula>
    </cfRule>
  </conditionalFormatting>
  <conditionalFormatting sqref="B716">
    <cfRule type="expression" priority="13" dxfId="1" stopIfTrue="1">
      <formula>$E$553</formula>
    </cfRule>
  </conditionalFormatting>
  <conditionalFormatting sqref="B717">
    <cfRule type="expression" priority="14" dxfId="1" stopIfTrue="1">
      <formula>$E$554</formula>
    </cfRule>
  </conditionalFormatting>
  <conditionalFormatting sqref="B1026">
    <cfRule type="expression" priority="29" dxfId="1" stopIfTrue="1">
      <formula>Translations!#REF!=TRUE</formula>
    </cfRule>
  </conditionalFormatting>
  <conditionalFormatting sqref="B1027">
    <cfRule type="expression" priority="30" dxfId="1" stopIfTrue="1">
      <formula>Translations!#REF!=TRUE</formula>
    </cfRule>
  </conditionalFormatting>
  <conditionalFormatting sqref="B1028">
    <cfRule type="expression" priority="31" dxfId="1" stopIfTrue="1">
      <formula>Translations!#REF!=TRUE</formula>
    </cfRule>
  </conditionalFormatting>
  <conditionalFormatting sqref="B1029">
    <cfRule type="expression" priority="32" dxfId="1" stopIfTrue="1">
      <formula>Translations!#REF!=TRUE</formula>
    </cfRule>
  </conditionalFormatting>
  <conditionalFormatting sqref="B1030">
    <cfRule type="expression" priority="33" dxfId="1" stopIfTrue="1">
      <formula>Translations!#REF!=TRUE</formula>
    </cfRule>
  </conditionalFormatting>
  <conditionalFormatting sqref="B1163">
    <cfRule type="expression" priority="34" dxfId="1" stopIfTrue="1">
      <formula>$F$162</formula>
    </cfRule>
  </conditionalFormatting>
  <conditionalFormatting sqref="B1198">
    <cfRule type="expression" priority="35" dxfId="1" stopIfTrue="1">
      <formula>Translations!#REF!</formula>
    </cfRule>
  </conditionalFormatting>
  <conditionalFormatting sqref="B1402 B1405 B1407">
    <cfRule type="expression" priority="36" dxfId="0" stopIfTrue="1">
      <formula>NOT(ISERROR(SEARCH("!",B1402)))</formula>
    </cfRule>
  </conditionalFormatting>
  <hyperlinks>
    <hyperlink ref="B277" location="JUMP_Guidelines_Home" display="Next sheet"/>
    <hyperlink ref="B278" r:id="rId1" display="Summary"/>
    <hyperlink ref="B279" location="JUMP_Coverpage_Top" display="Top of sheet"/>
    <hyperlink ref="B280" location="JUMP_Coverpage_Bottom" display="End of sheet"/>
    <hyperlink ref="B290" location="JUMP_TOC_Home" display="Table of contents"/>
    <hyperlink ref="B291" location="JUMP_TOC_Home" display="Previous sheet"/>
    <hyperlink ref="B294" r:id="rId2" display="http://eur-lex.europa.eu/LexUriServ/LexUriServ.do?uri=CONSLEG:2003L0087:20090625:EN:PDF"/>
    <hyperlink ref="B328" r:id="rId3" display="http://eur-lex.europa.eu/en/index.htm "/>
    <hyperlink ref="B330" r:id="rId4" display="http://ec.europa.eu/clima/policies/ets/index_en.htm"/>
    <hyperlink ref="B336" location="JUMP_A_I" display="&lt;&lt;&lt; Click here to proceed to next sheet &gt;&gt;&gt; "/>
    <hyperlink ref="B338" location="JUMP_A_I1" display="Installation ID"/>
    <hyperlink ref="B339" location="JUMP_A_I2" display="Contact persons"/>
    <hyperlink ref="B340" r:id="rId5" display="Verifier"/>
    <hyperlink ref="B341" location="JUMP_A_I4" display="Further information"/>
    <hyperlink ref="B342" r:id="rId6" display="Eligibility"/>
    <hyperlink ref="B343" location="JUMP_A_IV1" display="Technical connections"/>
    <hyperlink ref="B399" r:id="rId7" display="http://ec.europa.eu/eurostat/ramon/nomenclatures/index.cfm?TargetUrl=LST_CLS_DLD&amp;StrNom=NACE_1_1&amp;StrLanguageCode=EN&amp;StrLayoutCode=HIERARCHIC"/>
    <hyperlink ref="B401" r:id="rId8" display="http://ec.europa.eu/eurostat/ramon/nomenclatures/index.cfm?TargetUrl=LST_CLS_DLD&amp;StrNom=NACE_REV2&amp;StrLanguageCode=EN&amp;StrLayoutCode=HIERARCHIC"/>
    <hyperlink ref="B469" r:id="rId9" display="N2O"/>
    <hyperlink ref="B471" r:id="rId10" display="Emissions and Energy Input"/>
    <hyperlink ref="B472" r:id="rId11" display="Emissions Attribution"/>
    <hyperlink ref="B473" r:id="rId12" display="Waste gases (1)"/>
    <hyperlink ref="B474" r:id="rId13" display="Waste gases (2)"/>
    <hyperlink ref="B549" r:id="rId14" display="Attribution of Fuels"/>
    <hyperlink ref="B550" r:id="rId15" display="Heat (final result)"/>
    <hyperlink ref="B551" r:id="rId16" display="Electricity"/>
    <hyperlink ref="B705" r:id="rId17" display="http://ec.europa.eu/eurostat/ramon/nomenclatures/index.cfm?TargetUrl=LST_CLS_DLD&amp;StrNom=PRD_2007&amp;StrLanguageCode=EN&amp;StrLayoutCode"/>
    <hyperlink ref="B707" r:id="rId18" display="http://ec.europa.eu/eurostat/ramon/nomenclatures/index.cfm?TargetUrl=LST_CLS_DLD&amp;StrNom=PRD_2010&amp;StrLanguageCode=EN&amp;StrLayoutCode=HIERARCHIC"/>
    <hyperlink ref="B712" r:id="rId19" display="Heat benchmark, CL"/>
    <hyperlink ref="B713" r:id="rId20" display="Heat benchmark, non-CL"/>
    <hyperlink ref="B714" r:id="rId21" display="Fuel benchmark, CL"/>
    <hyperlink ref="B715" r:id="rId22" display="Fuel benchmark, non-CL"/>
    <hyperlink ref="B716" r:id="rId23" display="Process emissions, CL"/>
    <hyperlink ref="B717" r:id="rId24" display="Process emissions, non-CL"/>
    <hyperlink ref="B944" r:id="rId25" display="Installation data"/>
    <hyperlink ref="B945" r:id="rId26" display="Emissions &amp; Energy Flows"/>
    <hyperlink ref="B946" r:id="rId27" display="Sub-installation Data"/>
    <hyperlink ref="B947" r:id="rId28" display="Preliminary allocation"/>
    <hyperlink ref="B1008" r:id="rId29" display="The results displayed here are by no means legally binding. Please see disclaimer in the introduction of this section."/>
    <hyperlink ref="B1017" r:id="rId30" display="http://eur-lex.europa.eu/LexUriServ/LexUriServ.do?uri=CONSLEG:2011D0278:20111117:EN:PDF "/>
    <hyperlink ref="B1025" r:id="rId31" display="http://ec.europa.eu/clima/policies/ets/benchmarking/documentation_en.htm"/>
    <hyperlink ref="B1026" r:id="rId32" display="Type of change"/>
    <hyperlink ref="B1027" r:id="rId33" display="Cessation of operations"/>
    <hyperlink ref="B1028" r:id="rId34" display="Initial allocation"/>
    <hyperlink ref="B1029" r:id="rId35" display="Current application"/>
    <hyperlink ref="B1030" r:id="rId36" display="Initial installed capacity"/>
    <hyperlink ref="B1357" r:id="rId37" display="Baseline Period &amp; Eligibility"/>
    <hyperlink ref="B1358" r:id="rId38" display="Preliminary allocation"/>
  </hyperlinks>
  <printOptions/>
  <pageMargins left="0.7" right="0.7" top="0.787401575" bottom="0.787401575" header="0.3" footer="0.3"/>
  <pageSetup fitToHeight="4" fitToWidth="1" horizontalDpi="600" verticalDpi="600" orientation="portrait" paperSize="9" r:id="rId39"/>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codeName="Tabelle17">
    <tabColor indexed="57"/>
    <pageSetUpPr fitToPage="1"/>
  </sheetPr>
  <dimension ref="A1:E89"/>
  <sheetViews>
    <sheetView zoomScalePageLayoutView="0" workbookViewId="0" topLeftCell="A1">
      <selection activeCell="C11" sqref="C11"/>
    </sheetView>
  </sheetViews>
  <sheetFormatPr defaultColWidth="9.140625" defaultRowHeight="12.75"/>
  <cols>
    <col min="1" max="1" width="23.421875" style="85" customWidth="1"/>
    <col min="2" max="2" width="34.7109375" style="85" customWidth="1"/>
    <col min="3" max="3" width="15.140625" style="85" customWidth="1"/>
    <col min="4" max="4" width="15.421875" style="85" customWidth="1"/>
    <col min="5" max="16384" width="9.140625" style="85" customWidth="1"/>
  </cols>
  <sheetData>
    <row r="1" ht="13.5" thickBot="1">
      <c r="A1" s="87" t="s">
        <v>498</v>
      </c>
    </row>
    <row r="2" spans="1:2" ht="13.5" thickBot="1">
      <c r="A2" s="162" t="s">
        <v>499</v>
      </c>
      <c r="B2" s="163" t="s">
        <v>1973</v>
      </c>
    </row>
    <row r="3" spans="1:5" ht="13.5" thickBot="1">
      <c r="A3" s="164" t="s">
        <v>497</v>
      </c>
      <c r="B3" s="165">
        <v>42044</v>
      </c>
      <c r="C3" s="166" t="str">
        <f>IF(ISNUMBER(MATCH(B3,A15:A27,0)),VLOOKUP(B3,A15:B27,2,FALSE),"---")</f>
        <v>NE&amp;C MergerSplit_2015-02-09_COM_en.XLS</v>
      </c>
      <c r="D3" s="167"/>
      <c r="E3" s="168"/>
    </row>
    <row r="4" spans="1:2" ht="12.75">
      <c r="A4" s="169" t="s">
        <v>502</v>
      </c>
      <c r="B4" s="170" t="s">
        <v>503</v>
      </c>
    </row>
    <row r="5" spans="1:2" ht="13.5" thickBot="1">
      <c r="A5" s="171" t="s">
        <v>501</v>
      </c>
      <c r="B5" s="172" t="s">
        <v>518</v>
      </c>
    </row>
    <row r="6" ht="12.75"/>
    <row r="7" ht="12.75">
      <c r="A7" s="173" t="s">
        <v>500</v>
      </c>
    </row>
    <row r="8" spans="1:3" ht="12.75">
      <c r="A8" s="115" t="s">
        <v>1841</v>
      </c>
      <c r="B8" s="115"/>
      <c r="C8" s="174" t="s">
        <v>1842</v>
      </c>
    </row>
    <row r="9" spans="1:3" ht="12.75">
      <c r="A9" s="115" t="s">
        <v>269</v>
      </c>
      <c r="B9" s="115"/>
      <c r="C9" s="174" t="s">
        <v>270</v>
      </c>
    </row>
    <row r="10" spans="1:3" ht="12.75">
      <c r="A10" s="115" t="s">
        <v>1051</v>
      </c>
      <c r="B10" s="115"/>
      <c r="C10" s="174" t="s">
        <v>1051</v>
      </c>
    </row>
    <row r="11" spans="1:3" ht="12.75">
      <c r="A11" s="115" t="s">
        <v>1635</v>
      </c>
      <c r="B11" s="115"/>
      <c r="C11" s="174" t="s">
        <v>152</v>
      </c>
    </row>
    <row r="12" spans="1:3" ht="12.75">
      <c r="A12" s="573" t="s">
        <v>1973</v>
      </c>
      <c r="B12" s="115"/>
      <c r="C12" s="574" t="s">
        <v>1974</v>
      </c>
    </row>
    <row r="13" ht="12.75">
      <c r="A13" s="93"/>
    </row>
    <row r="14" spans="1:3" ht="12.75">
      <c r="A14" s="87" t="s">
        <v>1548</v>
      </c>
      <c r="B14" s="87" t="s">
        <v>1346</v>
      </c>
      <c r="C14" s="87" t="s">
        <v>317</v>
      </c>
    </row>
    <row r="15" spans="1:4" ht="12.75">
      <c r="A15" s="175">
        <v>42009</v>
      </c>
      <c r="B15" s="178" t="str">
        <f aca="true" t="shared" si="0" ref="B15:B22">IF(ISBLANK(A15),"",CONCATENATE(VLOOKUP($B$2,$A$8:$C$12,3,0),"_",TEXT(YEAR(A15),"####"),"-",TEXT(MONTH(A15),"0#"),"-",TEXT(DAY(A15),"0#"),"_",VLOOKUP($B$4,$A$30:$B$62,2,0),"_",VLOOKUP($B$5,$A$65:$B$89,2,0),".XLS"))</f>
        <v>NE&amp;C MergerSplit_2015-01-05_COM_en.XLS</v>
      </c>
      <c r="C15" s="575" t="s">
        <v>2021</v>
      </c>
      <c r="D15" s="176"/>
    </row>
    <row r="16" spans="1:4" ht="12.75">
      <c r="A16" s="177">
        <v>42044</v>
      </c>
      <c r="B16" s="178" t="str">
        <f t="shared" si="0"/>
        <v>NE&amp;C MergerSplit_2015-02-09_COM_en.XLS</v>
      </c>
      <c r="C16" s="432" t="s">
        <v>2056</v>
      </c>
      <c r="D16" s="180"/>
    </row>
    <row r="17" spans="1:4" ht="12.75">
      <c r="A17" s="177"/>
      <c r="B17" s="178">
        <f t="shared" si="0"/>
      </c>
      <c r="C17" s="432"/>
      <c r="D17" s="180"/>
    </row>
    <row r="18" spans="1:4" ht="12.75">
      <c r="A18" s="177"/>
      <c r="B18" s="178">
        <f t="shared" si="0"/>
      </c>
      <c r="C18" s="179"/>
      <c r="D18" s="180"/>
    </row>
    <row r="19" spans="1:4" ht="12.75">
      <c r="A19" s="177"/>
      <c r="B19" s="178">
        <f t="shared" si="0"/>
      </c>
      <c r="C19" s="179"/>
      <c r="D19" s="180"/>
    </row>
    <row r="20" spans="1:4" ht="12.75">
      <c r="A20" s="177"/>
      <c r="B20" s="178">
        <f t="shared" si="0"/>
      </c>
      <c r="C20" s="179"/>
      <c r="D20" s="180"/>
    </row>
    <row r="21" spans="1:4" ht="12.75">
      <c r="A21" s="177"/>
      <c r="B21" s="178">
        <f t="shared" si="0"/>
      </c>
      <c r="C21" s="179"/>
      <c r="D21" s="180"/>
    </row>
    <row r="22" spans="1:4" ht="12.75">
      <c r="A22" s="177"/>
      <c r="B22" s="178">
        <f t="shared" si="0"/>
      </c>
      <c r="C22" s="179"/>
      <c r="D22" s="180"/>
    </row>
    <row r="23" spans="1:4" ht="12.75">
      <c r="A23" s="177"/>
      <c r="B23" s="178">
        <f>IF(ISBLANK(A23),"",CONCATENATE(VLOOKUP($B$2,$A$8:$C$12,3,0),"_",TEXT(YEAR(A23),"####"),"-",TEXT(MONTH(A23),"0#"),"-",TEXT(DAY(A23),"0#"),"_",VLOOKUP($B$4,$A$30:$B$62,2,0),"_",VLOOKUP($B$5,$A$65:$B$89,2,0),".XLS"))</f>
      </c>
      <c r="C23" s="179"/>
      <c r="D23" s="180"/>
    </row>
    <row r="24" spans="1:4" ht="12.75">
      <c r="A24" s="177"/>
      <c r="B24" s="178">
        <f>IF(ISBLANK(A24),"",CONCATENATE(VLOOKUP($B$2,$A$8:$C$12,3,0),"_",TEXT(YEAR(A24),"####"),"-",TEXT(MONTH(A24),"0#"),"-",TEXT(DAY(A24),"0#"),"_",VLOOKUP($B$4,$A$30:$B$62,2,0),"_",VLOOKUP($B$5,$A$65:$B$89,2,0),".XLS"))</f>
      </c>
      <c r="C24" s="432"/>
      <c r="D24" s="180"/>
    </row>
    <row r="25" spans="1:4" ht="12.75">
      <c r="A25" s="177"/>
      <c r="B25" s="178">
        <f>IF(ISBLANK(A25),"",CONCATENATE(VLOOKUP($B$2,$A$8:$C$12,3,0),"_",TEXT(YEAR(A25),"####"),"-",TEXT(MONTH(A25),"0#"),"-",TEXT(DAY(A25),"0#"),"_",VLOOKUP($B$4,$A$30:$B$62,2,0),"_",VLOOKUP($B$5,$A$65:$B$89,2,0),".XLS"))</f>
      </c>
      <c r="C25" s="179"/>
      <c r="D25" s="180"/>
    </row>
    <row r="26" spans="1:4" ht="12.75">
      <c r="A26" s="177"/>
      <c r="B26" s="178">
        <f>IF(ISBLANK(A26),"",CONCATENATE(VLOOKUP($B$2,$A$8:$C$12,3,0),"_",TEXT(YEAR(A26),"####"),"-",TEXT(MONTH(A26),"0#"),"-",TEXT(DAY(A26),"0#"),"_",VLOOKUP($B$4,$A$30:$B$62,2,0),"_",VLOOKUP($B$5,$A$65:$B$89,2,0),".XLS"))</f>
      </c>
      <c r="C26" s="179"/>
      <c r="D26" s="180"/>
    </row>
    <row r="27" spans="1:4" ht="12.75">
      <c r="A27" s="272"/>
      <c r="B27" s="181">
        <f>IF(ISBLANK(A27),"",CONCATENATE(VLOOKUP($B$2,$A$8:$C$12,3,0),"_",TEXT(YEAR(A27),"####"),"-",TEXT(MONTH(A27),"0#"),"-",TEXT(DAY(A27),"0#"),"_",VLOOKUP($B$4,$A$30:$B$62,2,0),"_",VLOOKUP($B$5,$A$65:$B$89,2,0),".XLS"))</f>
      </c>
      <c r="C27" s="182"/>
      <c r="D27" s="183"/>
    </row>
    <row r="29" ht="12.75">
      <c r="A29" s="87" t="s">
        <v>502</v>
      </c>
    </row>
    <row r="30" spans="1:3" ht="12.75">
      <c r="A30" s="160" t="s">
        <v>503</v>
      </c>
      <c r="B30" s="160" t="s">
        <v>1347</v>
      </c>
      <c r="C30" s="114"/>
    </row>
    <row r="31" spans="1:2" ht="12.75">
      <c r="A31" s="160" t="s">
        <v>1050</v>
      </c>
      <c r="B31" s="160" t="s">
        <v>194</v>
      </c>
    </row>
    <row r="32" spans="1:2" ht="12.75">
      <c r="A32" s="160" t="s">
        <v>1683</v>
      </c>
      <c r="B32" s="160" t="s">
        <v>1348</v>
      </c>
    </row>
    <row r="33" spans="1:2" ht="12.75">
      <c r="A33" s="160" t="s">
        <v>1684</v>
      </c>
      <c r="B33" s="160" t="s">
        <v>1349</v>
      </c>
    </row>
    <row r="34" spans="1:2" ht="12.75">
      <c r="A34" s="160" t="s">
        <v>1685</v>
      </c>
      <c r="B34" s="160" t="s">
        <v>1350</v>
      </c>
    </row>
    <row r="35" spans="1:2" ht="12.75">
      <c r="A35" s="160" t="s">
        <v>1636</v>
      </c>
      <c r="B35" s="160" t="s">
        <v>1637</v>
      </c>
    </row>
    <row r="36" spans="1:2" ht="12.75">
      <c r="A36" s="160" t="s">
        <v>1686</v>
      </c>
      <c r="B36" s="160" t="s">
        <v>1351</v>
      </c>
    </row>
    <row r="37" spans="1:2" ht="12.75">
      <c r="A37" s="160" t="s">
        <v>1687</v>
      </c>
      <c r="B37" s="160" t="s">
        <v>1352</v>
      </c>
    </row>
    <row r="38" spans="1:2" ht="12.75">
      <c r="A38" s="160" t="s">
        <v>1688</v>
      </c>
      <c r="B38" s="160" t="s">
        <v>1353</v>
      </c>
    </row>
    <row r="39" spans="1:2" ht="12.75">
      <c r="A39" s="160" t="s">
        <v>1689</v>
      </c>
      <c r="B39" s="160" t="s">
        <v>1354</v>
      </c>
    </row>
    <row r="40" spans="1:2" ht="12.75">
      <c r="A40" s="160" t="s">
        <v>1690</v>
      </c>
      <c r="B40" s="160" t="s">
        <v>1355</v>
      </c>
    </row>
    <row r="41" spans="1:2" ht="12.75">
      <c r="A41" s="160" t="s">
        <v>1691</v>
      </c>
      <c r="B41" s="160" t="s">
        <v>1356</v>
      </c>
    </row>
    <row r="42" spans="1:2" ht="12.75">
      <c r="A42" s="160" t="s">
        <v>1811</v>
      </c>
      <c r="B42" s="160" t="s">
        <v>1357</v>
      </c>
    </row>
    <row r="43" spans="1:2" ht="12.75">
      <c r="A43" s="160" t="s">
        <v>1812</v>
      </c>
      <c r="B43" s="160" t="s">
        <v>1358</v>
      </c>
    </row>
    <row r="44" spans="1:2" ht="12.75">
      <c r="A44" s="160" t="s">
        <v>1813</v>
      </c>
      <c r="B44" s="160" t="s">
        <v>1359</v>
      </c>
    </row>
    <row r="45" spans="1:2" ht="12.75">
      <c r="A45" s="160" t="s">
        <v>1822</v>
      </c>
      <c r="B45" s="160" t="s">
        <v>191</v>
      </c>
    </row>
    <row r="46" spans="1:2" ht="12.75">
      <c r="A46" s="160" t="s">
        <v>1814</v>
      </c>
      <c r="B46" s="160" t="s">
        <v>1360</v>
      </c>
    </row>
    <row r="47" spans="1:2" ht="12.75">
      <c r="A47" s="160" t="s">
        <v>1815</v>
      </c>
      <c r="B47" s="160" t="s">
        <v>1361</v>
      </c>
    </row>
    <row r="48" spans="1:2" ht="12.75">
      <c r="A48" s="160" t="s">
        <v>1816</v>
      </c>
      <c r="B48" s="160" t="s">
        <v>1362</v>
      </c>
    </row>
    <row r="49" spans="1:2" ht="12.75">
      <c r="A49" s="160" t="s">
        <v>190</v>
      </c>
      <c r="B49" s="160" t="s">
        <v>192</v>
      </c>
    </row>
    <row r="50" spans="1:2" ht="12.75">
      <c r="A50" s="160" t="s">
        <v>1817</v>
      </c>
      <c r="B50" s="160" t="s">
        <v>1363</v>
      </c>
    </row>
    <row r="51" spans="1:2" ht="12.75">
      <c r="A51" s="160" t="s">
        <v>1818</v>
      </c>
      <c r="B51" s="160" t="s">
        <v>1364</v>
      </c>
    </row>
    <row r="52" spans="1:2" ht="12.75">
      <c r="A52" s="160" t="s">
        <v>1819</v>
      </c>
      <c r="B52" s="160" t="s">
        <v>1365</v>
      </c>
    </row>
    <row r="53" spans="1:2" ht="12.75">
      <c r="A53" s="160" t="s">
        <v>1820</v>
      </c>
      <c r="B53" s="160" t="s">
        <v>1366</v>
      </c>
    </row>
    <row r="54" spans="1:2" ht="12.75">
      <c r="A54" s="160" t="s">
        <v>189</v>
      </c>
      <c r="B54" s="160" t="s">
        <v>193</v>
      </c>
    </row>
    <row r="55" spans="1:2" ht="12.75">
      <c r="A55" s="160" t="s">
        <v>1821</v>
      </c>
      <c r="B55" s="160" t="s">
        <v>1367</v>
      </c>
    </row>
    <row r="56" spans="1:2" ht="12.75">
      <c r="A56" s="160" t="s">
        <v>1095</v>
      </c>
      <c r="B56" s="160" t="s">
        <v>1368</v>
      </c>
    </row>
    <row r="57" spans="1:2" ht="12.75">
      <c r="A57" s="160" t="s">
        <v>1096</v>
      </c>
      <c r="B57" s="160" t="s">
        <v>1369</v>
      </c>
    </row>
    <row r="58" spans="1:2" ht="12.75">
      <c r="A58" s="160" t="s">
        <v>1097</v>
      </c>
      <c r="B58" s="160" t="s">
        <v>1370</v>
      </c>
    </row>
    <row r="59" spans="1:2" ht="12.75">
      <c r="A59" s="160" t="s">
        <v>1098</v>
      </c>
      <c r="B59" s="160" t="s">
        <v>1371</v>
      </c>
    </row>
    <row r="60" spans="1:2" ht="12.75">
      <c r="A60" s="160" t="s">
        <v>1052</v>
      </c>
      <c r="B60" s="160" t="s">
        <v>1372</v>
      </c>
    </row>
    <row r="61" spans="1:2" ht="12.75">
      <c r="A61" s="160" t="s">
        <v>1053</v>
      </c>
      <c r="B61" s="160" t="s">
        <v>999</v>
      </c>
    </row>
    <row r="62" spans="1:2" ht="12.75" customHeight="1">
      <c r="A62" s="160" t="s">
        <v>1054</v>
      </c>
      <c r="B62" s="160" t="s">
        <v>1000</v>
      </c>
    </row>
    <row r="64" ht="12.75">
      <c r="A64" s="94" t="s">
        <v>1549</v>
      </c>
    </row>
    <row r="65" spans="1:2" ht="12.75">
      <c r="A65" s="161" t="s">
        <v>504</v>
      </c>
      <c r="B65" s="161" t="s">
        <v>505</v>
      </c>
    </row>
    <row r="66" spans="1:2" ht="12.75">
      <c r="A66" s="161" t="s">
        <v>506</v>
      </c>
      <c r="B66" s="161" t="s">
        <v>507</v>
      </c>
    </row>
    <row r="67" spans="1:2" ht="12.75">
      <c r="A67" s="421" t="s">
        <v>1638</v>
      </c>
      <c r="B67" s="421" t="s">
        <v>1639</v>
      </c>
    </row>
    <row r="68" spans="1:2" ht="12.75">
      <c r="A68" s="161" t="s">
        <v>508</v>
      </c>
      <c r="B68" s="161" t="s">
        <v>509</v>
      </c>
    </row>
    <row r="69" spans="1:2" ht="12.75">
      <c r="A69" s="161" t="s">
        <v>510</v>
      </c>
      <c r="B69" s="161" t="s">
        <v>511</v>
      </c>
    </row>
    <row r="70" spans="1:2" ht="12.75">
      <c r="A70" s="161" t="s">
        <v>512</v>
      </c>
      <c r="B70" s="161" t="s">
        <v>513</v>
      </c>
    </row>
    <row r="71" spans="1:2" ht="12.75">
      <c r="A71" s="161" t="s">
        <v>514</v>
      </c>
      <c r="B71" s="161" t="s">
        <v>515</v>
      </c>
    </row>
    <row r="72" spans="1:2" ht="12.75">
      <c r="A72" s="161" t="s">
        <v>516</v>
      </c>
      <c r="B72" s="161" t="s">
        <v>517</v>
      </c>
    </row>
    <row r="73" spans="1:2" ht="12.75">
      <c r="A73" s="161" t="s">
        <v>518</v>
      </c>
      <c r="B73" s="161" t="s">
        <v>519</v>
      </c>
    </row>
    <row r="74" spans="1:2" ht="12.75">
      <c r="A74" s="161" t="s">
        <v>520</v>
      </c>
      <c r="B74" s="161" t="s">
        <v>521</v>
      </c>
    </row>
    <row r="75" spans="1:2" ht="12.75">
      <c r="A75" s="161" t="s">
        <v>522</v>
      </c>
      <c r="B75" s="161" t="s">
        <v>523</v>
      </c>
    </row>
    <row r="76" spans="1:2" ht="12.75">
      <c r="A76" s="161" t="s">
        <v>524</v>
      </c>
      <c r="B76" s="161" t="s">
        <v>1323</v>
      </c>
    </row>
    <row r="77" spans="1:2" ht="12.75">
      <c r="A77" s="161" t="s">
        <v>1324</v>
      </c>
      <c r="B77" s="161" t="s">
        <v>1325</v>
      </c>
    </row>
    <row r="78" spans="1:2" ht="12.75">
      <c r="A78" s="161" t="s">
        <v>1326</v>
      </c>
      <c r="B78" s="161" t="s">
        <v>1327</v>
      </c>
    </row>
    <row r="79" spans="1:2" ht="12.75">
      <c r="A79" s="161" t="s">
        <v>1328</v>
      </c>
      <c r="B79" s="161" t="s">
        <v>1329</v>
      </c>
    </row>
    <row r="80" spans="1:2" ht="12.75">
      <c r="A80" s="161" t="s">
        <v>1330</v>
      </c>
      <c r="B80" s="161" t="s">
        <v>1331</v>
      </c>
    </row>
    <row r="81" spans="1:2" ht="12.75">
      <c r="A81" s="161" t="s">
        <v>1332</v>
      </c>
      <c r="B81" s="161" t="s">
        <v>1333</v>
      </c>
    </row>
    <row r="82" spans="1:2" ht="12.75">
      <c r="A82" s="161" t="s">
        <v>1334</v>
      </c>
      <c r="B82" s="161" t="s">
        <v>1335</v>
      </c>
    </row>
    <row r="83" spans="1:2" ht="12.75">
      <c r="A83" s="161" t="s">
        <v>1336</v>
      </c>
      <c r="B83" s="161" t="s">
        <v>1337</v>
      </c>
    </row>
    <row r="84" spans="1:2" ht="12.75">
      <c r="A84" s="161" t="s">
        <v>1338</v>
      </c>
      <c r="B84" s="161" t="s">
        <v>1339</v>
      </c>
    </row>
    <row r="85" spans="1:2" ht="12.75">
      <c r="A85" s="161" t="s">
        <v>1340</v>
      </c>
      <c r="B85" s="161" t="s">
        <v>1341</v>
      </c>
    </row>
    <row r="86" spans="1:2" ht="12.75">
      <c r="A86" s="161" t="s">
        <v>1342</v>
      </c>
      <c r="B86" s="161" t="s">
        <v>1343</v>
      </c>
    </row>
    <row r="87" spans="1:2" ht="12.75">
      <c r="A87" s="161" t="s">
        <v>1344</v>
      </c>
      <c r="B87" s="161" t="s">
        <v>1345</v>
      </c>
    </row>
    <row r="88" spans="1:2" ht="12.75">
      <c r="A88" s="161" t="s">
        <v>1244</v>
      </c>
      <c r="B88" s="161" t="s">
        <v>1245</v>
      </c>
    </row>
    <row r="89" spans="1:2" ht="12.75">
      <c r="A89" s="161" t="s">
        <v>1246</v>
      </c>
      <c r="B89" s="161" t="s">
        <v>1247</v>
      </c>
    </row>
  </sheetData>
  <sheetProtection sheet="1" objects="1" scenarios="1" formatCells="0" formatColumns="0" formatRows="0"/>
  <dataValidations count="4">
    <dataValidation type="list" allowBlank="1" showInputMessage="1" showErrorMessage="1" sqref="B5">
      <formula1>$A$65:$A$89</formula1>
    </dataValidation>
    <dataValidation type="list" allowBlank="1" showInputMessage="1" showErrorMessage="1" sqref="B2">
      <formula1>$A$8:$A$12</formula1>
    </dataValidation>
    <dataValidation type="list" allowBlank="1" showInputMessage="1" showErrorMessage="1" sqref="B3">
      <formula1>$A$15:$A$27</formula1>
    </dataValidation>
    <dataValidation type="list" allowBlank="1" showInputMessage="1" showErrorMessage="1" sqref="B4">
      <formula1>$A$30:$A$62</formula1>
    </dataValidation>
  </dataValidations>
  <printOptions/>
  <pageMargins left="0.787401575" right="0.787401575" top="0.984251969" bottom="0.984251969" header="0.5" footer="0.5"/>
  <pageSetup fitToHeight="1" fitToWidth="1" horizontalDpi="600" verticalDpi="600" orientation="portrait" paperSize="9" scale="71" r:id="rId3"/>
  <headerFooter alignWithMargins="0">
    <oddHeader>&amp;L&amp;F; &amp;A&amp;R&amp;D ;&amp;T</oddHeader>
    <oddFooter>&amp;C&amp;P / &amp;N</oddFooter>
  </headerFooter>
  <legacy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A1:X105"/>
  <sheetViews>
    <sheetView zoomScalePageLayoutView="0" workbookViewId="0" topLeftCell="A1">
      <pane ySplit="4" topLeftCell="A5" activePane="bottomLeft" state="frozen"/>
      <selection pane="topLeft" activeCell="A1" sqref="A1"/>
      <selection pane="bottomLeft" activeCell="E2" sqref="E2:F2"/>
    </sheetView>
  </sheetViews>
  <sheetFormatPr defaultColWidth="9.140625" defaultRowHeight="12.75"/>
  <cols>
    <col min="1" max="1" width="2.421875" style="612" hidden="1" customWidth="1"/>
    <col min="2" max="2" width="4.7109375" style="626" customWidth="1"/>
    <col min="3" max="3" width="12.7109375" style="626" customWidth="1"/>
    <col min="4" max="4" width="15.7109375" style="626" customWidth="1"/>
    <col min="5" max="11" width="12.7109375" style="626" customWidth="1"/>
    <col min="12" max="12" width="12.7109375" style="612" customWidth="1"/>
    <col min="13" max="13" width="4.7109375" style="612" customWidth="1"/>
    <col min="14" max="14" width="9.140625" style="612" customWidth="1"/>
    <col min="15" max="24" width="9.140625" style="594" hidden="1" customWidth="1"/>
    <col min="25" max="16384" width="9.140625" style="612" customWidth="1"/>
  </cols>
  <sheetData>
    <row r="1" spans="1:24" s="4" customFormat="1" ht="13.5" hidden="1" thickBot="1">
      <c r="A1" s="530" t="str">
        <f>Translations!$B$1507</f>
        <v>ausblenden</v>
      </c>
      <c r="O1" s="530" t="str">
        <f>Translations!$B$1507</f>
        <v>ausblenden</v>
      </c>
      <c r="P1" s="513" t="str">
        <f>Translations!$B$1507</f>
        <v>ausblenden</v>
      </c>
      <c r="Q1" s="513" t="str">
        <f>Translations!$B$1507</f>
        <v>ausblenden</v>
      </c>
      <c r="R1" s="513" t="str">
        <f>Translations!$B$1507</f>
        <v>ausblenden</v>
      </c>
      <c r="S1" s="513" t="str">
        <f>Translations!$B$1507</f>
        <v>ausblenden</v>
      </c>
      <c r="T1" s="513" t="str">
        <f>Translations!$B$1507</f>
        <v>ausblenden</v>
      </c>
      <c r="U1" s="513" t="str">
        <f>Translations!$B$1507</f>
        <v>ausblenden</v>
      </c>
      <c r="V1" s="513" t="str">
        <f>Translations!$B$1507</f>
        <v>ausblenden</v>
      </c>
      <c r="W1" s="513" t="str">
        <f>Translations!$B$1507</f>
        <v>ausblenden</v>
      </c>
      <c r="X1" s="513" t="str">
        <f>Translations!$B$1507</f>
        <v>ausblenden</v>
      </c>
    </row>
    <row r="2" spans="2:24" ht="13.5" customHeight="1" thickBot="1">
      <c r="B2" s="652" t="s">
        <v>894</v>
      </c>
      <c r="C2" s="205" t="str">
        <f>Translations!$B$276</f>
        <v>Navigation area:</v>
      </c>
      <c r="D2" s="203"/>
      <c r="E2" s="668" t="str">
        <f>Translations!$B$290</f>
        <v>Table of contents</v>
      </c>
      <c r="F2" s="655"/>
      <c r="G2" s="655"/>
      <c r="H2" s="655"/>
      <c r="I2" s="655" t="str">
        <f>HYPERLINK(U2,Translations!$B$277)</f>
        <v>Next sheet</v>
      </c>
      <c r="J2" s="655"/>
      <c r="K2" s="655" t="str">
        <f>HYPERLINK(W2,Translations!$B$278)</f>
        <v>Summary</v>
      </c>
      <c r="L2" s="662"/>
      <c r="M2" s="9"/>
      <c r="N2" s="611"/>
      <c r="O2" s="531" t="s">
        <v>1998</v>
      </c>
      <c r="P2" s="531"/>
      <c r="Q2" s="657"/>
      <c r="R2" s="658"/>
      <c r="S2" s="659"/>
      <c r="T2" s="658"/>
      <c r="U2" s="659" t="str">
        <f>"#"&amp;ADDRESS(ROW(D6),COLUMN(D6),,,A_InstallationData!Q3)</f>
        <v>#A_InstallationData!$D$6</v>
      </c>
      <c r="V2" s="658"/>
      <c r="W2" s="659" t="str">
        <f>"#"&amp;ADDRESS(ROW(D6),COLUMN(D6),,,D_Summary!Q3)</f>
        <v>#D_Summary!$D$6</v>
      </c>
      <c r="X2" s="660"/>
    </row>
    <row r="3" spans="2:24" ht="13.5" thickBot="1">
      <c r="B3" s="653"/>
      <c r="C3" s="655" t="str">
        <f>HYPERLINK(P3,Translations!$B$279)</f>
        <v>Top of sheet</v>
      </c>
      <c r="D3" s="703"/>
      <c r="E3" s="669"/>
      <c r="F3" s="670"/>
      <c r="G3" s="705"/>
      <c r="H3" s="670"/>
      <c r="I3" s="705"/>
      <c r="J3" s="670"/>
      <c r="K3" s="705"/>
      <c r="L3" s="670"/>
      <c r="M3" s="9"/>
      <c r="N3" s="611"/>
      <c r="O3" s="590" t="str">
        <f ca="1">IF(ISERROR(CELL("filename",O2)),"b_Guidelines &amp; conditions",MID(CELL("filename",O2),FIND("]",CELL("filename",O2))+1,1024))</f>
        <v>b_Guidelines &amp; conditions</v>
      </c>
      <c r="P3" s="591" t="str">
        <f>"#"&amp;ADDRESS(ROW(B10),COLUMN(B10))</f>
        <v>#$B$10</v>
      </c>
      <c r="Q3" s="728"/>
      <c r="R3" s="729"/>
      <c r="S3" s="730"/>
      <c r="T3" s="729"/>
      <c r="U3" s="730"/>
      <c r="V3" s="729"/>
      <c r="W3" s="730"/>
      <c r="X3" s="731"/>
    </row>
    <row r="4" spans="2:24" ht="13.5" thickBot="1">
      <c r="B4" s="654"/>
      <c r="C4" s="655" t="str">
        <f>HYPERLINK(P4,Translations!$B$280)</f>
        <v>End of sheet</v>
      </c>
      <c r="D4" s="655"/>
      <c r="E4" s="711"/>
      <c r="F4" s="712"/>
      <c r="G4" s="713"/>
      <c r="H4" s="712"/>
      <c r="I4" s="713"/>
      <c r="J4" s="712"/>
      <c r="K4" s="713"/>
      <c r="L4" s="712"/>
      <c r="M4" s="9"/>
      <c r="N4" s="611"/>
      <c r="O4" s="531"/>
      <c r="P4" s="592" t="str">
        <f>"#"&amp;ADDRESS(ROW(JUMP_Guidelines_Bottom),COLUMN(JUMP_Guidelines_Bottom))</f>
        <v>#$C$104</v>
      </c>
      <c r="Q4" s="734"/>
      <c r="R4" s="735"/>
      <c r="S4" s="736"/>
      <c r="T4" s="735"/>
      <c r="U4" s="736"/>
      <c r="V4" s="735"/>
      <c r="W4" s="736"/>
      <c r="X4" s="737"/>
    </row>
    <row r="5" spans="2:16" ht="12.75">
      <c r="B5" s="86"/>
      <c r="C5" s="86"/>
      <c r="D5" s="86"/>
      <c r="E5" s="86"/>
      <c r="F5" s="86"/>
      <c r="G5" s="86"/>
      <c r="H5" s="86"/>
      <c r="I5" s="86"/>
      <c r="J5" s="86"/>
      <c r="K5" s="86"/>
      <c r="L5" s="89"/>
      <c r="M5" s="89"/>
      <c r="P5" s="597" t="str">
        <f>HYPERLINK(P4,"T")</f>
        <v>T</v>
      </c>
    </row>
    <row r="6" spans="2:13" ht="18">
      <c r="B6" s="14"/>
      <c r="C6" s="671" t="str">
        <f>Translations!$B$292</f>
        <v>GUIDELINES AND CONDITIONS</v>
      </c>
      <c r="D6" s="671"/>
      <c r="E6" s="671"/>
      <c r="F6" s="671"/>
      <c r="G6" s="671"/>
      <c r="H6" s="671"/>
      <c r="I6" s="671"/>
      <c r="J6" s="671"/>
      <c r="K6" s="671"/>
      <c r="L6" s="86"/>
      <c r="M6" s="89"/>
    </row>
    <row r="7" spans="2:13" ht="12.75">
      <c r="B7" s="14"/>
      <c r="C7" s="672"/>
      <c r="D7" s="672"/>
      <c r="E7" s="672"/>
      <c r="F7" s="672"/>
      <c r="G7" s="672"/>
      <c r="H7" s="672"/>
      <c r="I7" s="672"/>
      <c r="J7" s="672"/>
      <c r="K7" s="672"/>
      <c r="L7" s="672"/>
      <c r="M7" s="89"/>
    </row>
    <row r="8" spans="2:24" s="613" customFormat="1" ht="15.75">
      <c r="B8" s="12"/>
      <c r="C8" s="673" t="str">
        <f>Translations!$B$293</f>
        <v>General Information on this Template</v>
      </c>
      <c r="D8" s="673"/>
      <c r="E8" s="673"/>
      <c r="F8" s="673"/>
      <c r="G8" s="673"/>
      <c r="H8" s="673"/>
      <c r="I8" s="673"/>
      <c r="J8" s="673"/>
      <c r="K8" s="673"/>
      <c r="L8" s="673"/>
      <c r="M8" s="7"/>
      <c r="O8" s="609"/>
      <c r="P8" s="609"/>
      <c r="Q8" s="609"/>
      <c r="R8" s="609"/>
      <c r="S8" s="609"/>
      <c r="T8" s="609"/>
      <c r="U8" s="609"/>
      <c r="V8" s="609"/>
      <c r="W8" s="609"/>
      <c r="X8" s="609"/>
    </row>
    <row r="9" spans="2:24" s="613" customFormat="1" ht="12.75">
      <c r="B9" s="91"/>
      <c r="C9" s="91"/>
      <c r="D9" s="91"/>
      <c r="E9" s="91"/>
      <c r="F9" s="91"/>
      <c r="G9" s="91"/>
      <c r="H9" s="91"/>
      <c r="I9" s="91"/>
      <c r="J9" s="91"/>
      <c r="K9" s="21"/>
      <c r="L9" s="21"/>
      <c r="M9" s="7"/>
      <c r="O9" s="609"/>
      <c r="P9" s="609"/>
      <c r="Q9" s="609"/>
      <c r="R9" s="609"/>
      <c r="S9" s="609"/>
      <c r="T9" s="609"/>
      <c r="U9" s="609"/>
      <c r="V9" s="609"/>
      <c r="W9" s="609"/>
      <c r="X9" s="609"/>
    </row>
    <row r="10" spans="2:24" s="613" customFormat="1" ht="25.5" customHeight="1">
      <c r="B10" s="187">
        <v>1</v>
      </c>
      <c r="C10" s="665" t="str">
        <f>Translations!$B$1015</f>
        <v>Directive 2003/87/EC, as amended most recently by Directive 2009/29/EC (hereinafter "the EU ETS Directive") requires Member States to allocate allowances for free to installations based on Community-wide and fully-harmonised rules (Article 10a(1)). The Directive can be downloaded from:</v>
      </c>
      <c r="D10" s="674"/>
      <c r="E10" s="674"/>
      <c r="F10" s="674"/>
      <c r="G10" s="674"/>
      <c r="H10" s="674"/>
      <c r="I10" s="674"/>
      <c r="J10" s="674"/>
      <c r="K10" s="674"/>
      <c r="L10" s="674"/>
      <c r="M10" s="7"/>
      <c r="O10" s="609"/>
      <c r="P10" s="609"/>
      <c r="Q10" s="609"/>
      <c r="R10" s="609"/>
      <c r="S10" s="609"/>
      <c r="T10" s="609"/>
      <c r="U10" s="609"/>
      <c r="V10" s="609"/>
      <c r="W10" s="609"/>
      <c r="X10" s="609"/>
    </row>
    <row r="11" spans="2:24" s="613" customFormat="1" ht="12.75">
      <c r="B11" s="91"/>
      <c r="C11" s="676" t="str">
        <f>Translations!$B$294</f>
        <v>http://eur-lex.europa.eu/LexUriServ/LexUriServ.do?uri=CONSLEG:2003L0087:20090625:EN:PDF</v>
      </c>
      <c r="D11" s="677"/>
      <c r="E11" s="677"/>
      <c r="F11" s="677"/>
      <c r="G11" s="677"/>
      <c r="H11" s="677"/>
      <c r="I11" s="677"/>
      <c r="J11" s="677"/>
      <c r="K11" s="677"/>
      <c r="L11" s="677"/>
      <c r="M11" s="7"/>
      <c r="O11" s="609"/>
      <c r="P11" s="609"/>
      <c r="Q11" s="609"/>
      <c r="R11" s="609"/>
      <c r="S11" s="609"/>
      <c r="T11" s="609"/>
      <c r="U11" s="609"/>
      <c r="V11" s="609"/>
      <c r="W11" s="609"/>
      <c r="X11" s="609"/>
    </row>
    <row r="12" spans="2:24" s="613" customFormat="1" ht="12.75" customHeight="1">
      <c r="B12" s="187">
        <f>B10+1</f>
        <v>2</v>
      </c>
      <c r="C12" s="665" t="str">
        <f>Translations!$B$1016</f>
        <v>These Community-wide Implementing Measures (hereinafter "the CIMs") have been published as Commission Decision 2011/278/EU and can be downloaded from: </v>
      </c>
      <c r="D12" s="674"/>
      <c r="E12" s="674"/>
      <c r="F12" s="674"/>
      <c r="G12" s="674"/>
      <c r="H12" s="674"/>
      <c r="I12" s="674"/>
      <c r="J12" s="674"/>
      <c r="K12" s="674"/>
      <c r="L12" s="674"/>
      <c r="M12" s="7"/>
      <c r="O12" s="609"/>
      <c r="P12" s="609"/>
      <c r="Q12" s="609"/>
      <c r="R12" s="609"/>
      <c r="S12" s="609"/>
      <c r="T12" s="609"/>
      <c r="U12" s="609"/>
      <c r="V12" s="609"/>
      <c r="W12" s="609"/>
      <c r="X12" s="609"/>
    </row>
    <row r="13" spans="2:24" s="613" customFormat="1" ht="12.75">
      <c r="B13" s="91"/>
      <c r="C13" s="676" t="str">
        <f>Translations!$B$1017</f>
        <v>http://eur-lex.europa.eu/LexUriServ/LexUriServ.do?uri=CONSLEG:2011D0278:20111117:EN:PDF </v>
      </c>
      <c r="D13" s="677"/>
      <c r="E13" s="677"/>
      <c r="F13" s="677"/>
      <c r="G13" s="677"/>
      <c r="H13" s="677"/>
      <c r="I13" s="677"/>
      <c r="J13" s="677"/>
      <c r="K13" s="677"/>
      <c r="L13" s="677"/>
      <c r="M13" s="7"/>
      <c r="O13" s="609"/>
      <c r="P13" s="609"/>
      <c r="Q13" s="609"/>
      <c r="R13" s="609"/>
      <c r="S13" s="609"/>
      <c r="T13" s="609"/>
      <c r="U13" s="609"/>
      <c r="V13" s="609"/>
      <c r="W13" s="609"/>
      <c r="X13" s="609"/>
    </row>
    <row r="14" spans="2:24" s="613" customFormat="1" ht="38.25" customHeight="1">
      <c r="B14" s="187">
        <f>B12+1</f>
        <v>3</v>
      </c>
      <c r="C14" s="678" t="str">
        <f>Translations!$B$1510</f>
        <v>The CIMs do not contain any explicit provisions regarding mergers and splits of installations. Therefore, as a general rule, any change to free allocation following a merger or split of installations should be implemented in accordance with the New Entrants and Closures (NEC) rules foreseen by the CIMs.</v>
      </c>
      <c r="D14" s="679"/>
      <c r="E14" s="679"/>
      <c r="F14" s="679"/>
      <c r="G14" s="679"/>
      <c r="H14" s="679"/>
      <c r="I14" s="679"/>
      <c r="J14" s="679"/>
      <c r="K14" s="679"/>
      <c r="L14" s="679"/>
      <c r="M14" s="7"/>
      <c r="O14" s="609"/>
      <c r="P14" s="609"/>
      <c r="Q14" s="609"/>
      <c r="R14" s="609"/>
      <c r="S14" s="609"/>
      <c r="T14" s="609"/>
      <c r="U14" s="609"/>
      <c r="V14" s="609"/>
      <c r="W14" s="609"/>
      <c r="X14" s="609"/>
    </row>
    <row r="15" spans="2:24" s="613" customFormat="1" ht="12.75" customHeight="1">
      <c r="B15" s="187"/>
      <c r="C15" s="665" t="str">
        <f>Translations!$B$1511</f>
        <v>Under the framework of Harmonised Allocation Rules and when the conditions for a significant capacity change are met:</v>
      </c>
      <c r="D15" s="665"/>
      <c r="E15" s="665"/>
      <c r="F15" s="665"/>
      <c r="G15" s="665"/>
      <c r="H15" s="665"/>
      <c r="I15" s="665"/>
      <c r="J15" s="665"/>
      <c r="K15" s="665"/>
      <c r="L15" s="665"/>
      <c r="M15" s="7"/>
      <c r="O15" s="609"/>
      <c r="P15" s="609"/>
      <c r="Q15" s="609"/>
      <c r="R15" s="609"/>
      <c r="S15" s="609"/>
      <c r="T15" s="609"/>
      <c r="U15" s="609"/>
      <c r="V15" s="609"/>
      <c r="W15" s="609"/>
      <c r="X15" s="609"/>
    </row>
    <row r="16" spans="2:24" s="613" customFormat="1" ht="12.75" customHeight="1">
      <c r="B16" s="187"/>
      <c r="C16" s="602" t="s">
        <v>978</v>
      </c>
      <c r="D16" s="665" t="str">
        <f>Translations!$B$1512</f>
        <v>A merger of two installations is realised as one installation ceasing operations and another one increasing its production capacity.</v>
      </c>
      <c r="E16" s="665"/>
      <c r="F16" s="665"/>
      <c r="G16" s="665"/>
      <c r="H16" s="665"/>
      <c r="I16" s="665"/>
      <c r="J16" s="665"/>
      <c r="K16" s="665"/>
      <c r="L16" s="665"/>
      <c r="M16" s="7"/>
      <c r="O16" s="609"/>
      <c r="P16" s="609"/>
      <c r="Q16" s="609"/>
      <c r="R16" s="609"/>
      <c r="S16" s="609"/>
      <c r="T16" s="609"/>
      <c r="U16" s="609"/>
      <c r="V16" s="609"/>
      <c r="W16" s="609"/>
      <c r="X16" s="609"/>
    </row>
    <row r="17" spans="2:24" s="613" customFormat="1" ht="25.5" customHeight="1">
      <c r="B17" s="187"/>
      <c r="C17" s="602" t="s">
        <v>978</v>
      </c>
      <c r="D17" s="665" t="str">
        <f>Translations!$B$1513</f>
        <v>A split of one installation in two (or more) should be implemented as a significant capacity reduction of the original installation and one (or more) new entrant(s) ("greenfield").</v>
      </c>
      <c r="E17" s="665"/>
      <c r="F17" s="665"/>
      <c r="G17" s="665"/>
      <c r="H17" s="665"/>
      <c r="I17" s="665"/>
      <c r="J17" s="665"/>
      <c r="K17" s="665"/>
      <c r="L17" s="665"/>
      <c r="M17" s="7"/>
      <c r="O17" s="609"/>
      <c r="P17" s="609"/>
      <c r="Q17" s="609"/>
      <c r="R17" s="609"/>
      <c r="S17" s="609"/>
      <c r="T17" s="609"/>
      <c r="U17" s="609"/>
      <c r="V17" s="609"/>
      <c r="W17" s="609"/>
      <c r="X17" s="609"/>
    </row>
    <row r="18" spans="2:24" s="613" customFormat="1" ht="12.75" customHeight="1">
      <c r="B18" s="187">
        <v>4</v>
      </c>
      <c r="C18" s="678" t="str">
        <f>Translations!$B$1514</f>
        <v>Operators must report such changes following the normal NEC reporting procedure and the rules in the CIMs.</v>
      </c>
      <c r="D18" s="678"/>
      <c r="E18" s="678"/>
      <c r="F18" s="678"/>
      <c r="G18" s="678"/>
      <c r="H18" s="678"/>
      <c r="I18" s="678"/>
      <c r="J18" s="678"/>
      <c r="K18" s="678"/>
      <c r="L18" s="678"/>
      <c r="M18" s="7"/>
      <c r="O18" s="609"/>
      <c r="P18" s="609"/>
      <c r="Q18" s="609"/>
      <c r="R18" s="609"/>
      <c r="S18" s="609"/>
      <c r="T18" s="609"/>
      <c r="U18" s="609"/>
      <c r="V18" s="609"/>
      <c r="W18" s="609"/>
      <c r="X18" s="609"/>
    </row>
    <row r="19" spans="2:24" s="613" customFormat="1" ht="38.25" customHeight="1">
      <c r="B19" s="187">
        <v>5</v>
      </c>
      <c r="C19" s="665" t="str">
        <f>Translations!$B$1515</f>
        <v>With regard to the above, although mergers and splits are relatively common industrial administrative procedures resulting from changes in ownership, in the context of free allocation under the EU ETS, they need to be dealt with in accordance with the Harmonised Allocation Rules, i.e., through new entrants (greenfields), significant capacity changes and cessations.
</v>
      </c>
      <c r="D19" s="674"/>
      <c r="E19" s="674"/>
      <c r="F19" s="674"/>
      <c r="G19" s="674"/>
      <c r="H19" s="674"/>
      <c r="I19" s="674"/>
      <c r="J19" s="674"/>
      <c r="K19" s="674"/>
      <c r="L19" s="674"/>
      <c r="M19" s="7"/>
      <c r="O19" s="609"/>
      <c r="P19" s="609"/>
      <c r="Q19" s="609"/>
      <c r="R19" s="609"/>
      <c r="S19" s="609"/>
      <c r="T19" s="609"/>
      <c r="U19" s="609"/>
      <c r="V19" s="609"/>
      <c r="W19" s="609"/>
      <c r="X19" s="609"/>
    </row>
    <row r="20" spans="2:24" s="613" customFormat="1" ht="25.5" customHeight="1">
      <c r="B20" s="187">
        <v>6</v>
      </c>
      <c r="C20" s="678" t="str">
        <f>Translations!$B$1516</f>
        <v>Nevertheless, certain other changes to the allocation following a merger or a split may also be in line with the Harmonised Allocation Rules, provided that certain conditions are met:</v>
      </c>
      <c r="D20" s="679"/>
      <c r="E20" s="679"/>
      <c r="F20" s="679"/>
      <c r="G20" s="679"/>
      <c r="H20" s="679"/>
      <c r="I20" s="679"/>
      <c r="J20" s="679"/>
      <c r="K20" s="679"/>
      <c r="L20" s="679"/>
      <c r="M20" s="7"/>
      <c r="O20" s="609"/>
      <c r="P20" s="609"/>
      <c r="Q20" s="609"/>
      <c r="R20" s="609"/>
      <c r="S20" s="609"/>
      <c r="T20" s="609"/>
      <c r="U20" s="609"/>
      <c r="V20" s="609"/>
      <c r="W20" s="609"/>
      <c r="X20" s="609"/>
    </row>
    <row r="21" spans="2:24" s="613" customFormat="1" ht="12.75" customHeight="1">
      <c r="B21" s="187"/>
      <c r="C21" s="602" t="s">
        <v>978</v>
      </c>
      <c r="D21" s="665" t="str">
        <f>Translations!$B$1517</f>
        <v>Installations have to be under the scope of the ETS and hold a GHG permit before and after the merger or split takes place</v>
      </c>
      <c r="E21" s="665"/>
      <c r="F21" s="665"/>
      <c r="G21" s="665"/>
      <c r="H21" s="665"/>
      <c r="I21" s="665"/>
      <c r="J21" s="665"/>
      <c r="K21" s="665"/>
      <c r="L21" s="665"/>
      <c r="M21" s="7"/>
      <c r="O21" s="609"/>
      <c r="P21" s="609"/>
      <c r="Q21" s="609"/>
      <c r="R21" s="609"/>
      <c r="S21" s="609"/>
      <c r="T21" s="609"/>
      <c r="U21" s="609"/>
      <c r="V21" s="609"/>
      <c r="W21" s="609"/>
      <c r="X21" s="609"/>
    </row>
    <row r="22" spans="2:24" s="613" customFormat="1" ht="25.5" customHeight="1">
      <c r="B22" s="187"/>
      <c r="C22" s="602" t="s">
        <v>978</v>
      </c>
      <c r="D22" s="665" t="str">
        <f>Translations!$B$1518</f>
        <v>A merger or split does not result in an allocation of more allowances than compared to the allocations reported in the National Allocation Table (NAT) before the merger or split</v>
      </c>
      <c r="E22" s="665"/>
      <c r="F22" s="665"/>
      <c r="G22" s="665"/>
      <c r="H22" s="665"/>
      <c r="I22" s="665"/>
      <c r="J22" s="665"/>
      <c r="K22" s="665"/>
      <c r="L22" s="665"/>
      <c r="M22" s="7"/>
      <c r="O22" s="609"/>
      <c r="P22" s="609"/>
      <c r="Q22" s="609"/>
      <c r="R22" s="609"/>
      <c r="S22" s="609"/>
      <c r="T22" s="609"/>
      <c r="U22" s="609"/>
      <c r="V22" s="609"/>
      <c r="W22" s="609"/>
      <c r="X22" s="609"/>
    </row>
    <row r="23" spans="2:24" s="613" customFormat="1" ht="25.5" customHeight="1">
      <c r="B23" s="187"/>
      <c r="C23" s="602" t="s">
        <v>978</v>
      </c>
      <c r="D23" s="665" t="str">
        <f>Translations!$B$1519</f>
        <v>In case of merging installations, in line with Article 3(e) of Directive 2003/87/EC, the merger relates to installations that are technically connected and which operate on the same site and are covered by the same permit after the merger takes place</v>
      </c>
      <c r="E23" s="665"/>
      <c r="F23" s="665"/>
      <c r="G23" s="665"/>
      <c r="H23" s="665"/>
      <c r="I23" s="665"/>
      <c r="J23" s="665"/>
      <c r="K23" s="665"/>
      <c r="L23" s="665"/>
      <c r="M23" s="7"/>
      <c r="O23" s="609"/>
      <c r="P23" s="609"/>
      <c r="Q23" s="609"/>
      <c r="R23" s="609"/>
      <c r="S23" s="609"/>
      <c r="T23" s="609"/>
      <c r="U23" s="609"/>
      <c r="V23" s="609"/>
      <c r="W23" s="609"/>
      <c r="X23" s="609"/>
    </row>
    <row r="24" spans="2:24" s="613" customFormat="1" ht="12.75" customHeight="1">
      <c r="B24" s="187"/>
      <c r="C24" s="602" t="s">
        <v>978</v>
      </c>
      <c r="D24" s="665" t="str">
        <f>Translations!$B$1520</f>
        <v>The installation(s) involved in the merger or split are covered by a greenhouse gas permit reflecting their new status</v>
      </c>
      <c r="E24" s="665"/>
      <c r="F24" s="665"/>
      <c r="G24" s="665"/>
      <c r="H24" s="665"/>
      <c r="I24" s="665"/>
      <c r="J24" s="665"/>
      <c r="K24" s="665"/>
      <c r="L24" s="665"/>
      <c r="M24" s="7"/>
      <c r="O24" s="609"/>
      <c r="P24" s="609"/>
      <c r="Q24" s="609"/>
      <c r="R24" s="609"/>
      <c r="S24" s="609"/>
      <c r="T24" s="609"/>
      <c r="U24" s="609"/>
      <c r="V24" s="609"/>
      <c r="W24" s="609"/>
      <c r="X24" s="609"/>
    </row>
    <row r="25" spans="2:24" s="613" customFormat="1" ht="12.75" customHeight="1">
      <c r="B25" s="187"/>
      <c r="C25" s="602"/>
      <c r="D25" s="249"/>
      <c r="E25" s="249"/>
      <c r="F25" s="249"/>
      <c r="G25" s="249"/>
      <c r="H25" s="249"/>
      <c r="I25" s="249"/>
      <c r="J25" s="249"/>
      <c r="K25" s="249"/>
      <c r="L25" s="249"/>
      <c r="M25" s="7"/>
      <c r="O25" s="609"/>
      <c r="P25" s="609"/>
      <c r="Q25" s="609"/>
      <c r="R25" s="609"/>
      <c r="S25" s="609"/>
      <c r="T25" s="609"/>
      <c r="U25" s="609"/>
      <c r="V25" s="609"/>
      <c r="W25" s="609"/>
      <c r="X25" s="609"/>
    </row>
    <row r="26" spans="2:24" s="613" customFormat="1" ht="38.25" customHeight="1">
      <c r="B26" s="187">
        <v>7</v>
      </c>
      <c r="C26" s="665" t="str">
        <f>Translations!$B$1021</f>
        <v>This template has been developed on behalf of the Commission by its consultant (Umweltbundesamt GmbH, Austria).
The views expressed in this file represent the views of the authors and not necessarily those of the European Commission. </v>
      </c>
      <c r="D26" s="675"/>
      <c r="E26" s="675"/>
      <c r="F26" s="675"/>
      <c r="G26" s="675"/>
      <c r="H26" s="675"/>
      <c r="I26" s="675"/>
      <c r="J26" s="675"/>
      <c r="K26" s="675"/>
      <c r="L26" s="675"/>
      <c r="M26" s="7"/>
      <c r="O26" s="609"/>
      <c r="P26" s="609"/>
      <c r="Q26" s="609"/>
      <c r="R26" s="609"/>
      <c r="S26" s="609"/>
      <c r="T26" s="609"/>
      <c r="U26" s="609"/>
      <c r="V26" s="609"/>
      <c r="W26" s="609"/>
      <c r="X26" s="609"/>
    </row>
    <row r="27" spans="2:24" s="613" customFormat="1" ht="39.75" customHeight="1">
      <c r="B27" s="187">
        <f>B26+1</f>
        <v>8</v>
      </c>
      <c r="C27" s="693" t="str">
        <f>Translations!$B$1022</f>
        <v>This is the first draft this template, sent to the Technical Working Group on Benchmarks for comment on DD January 2015.</v>
      </c>
      <c r="D27" s="694"/>
      <c r="E27" s="694"/>
      <c r="F27" s="694"/>
      <c r="G27" s="694"/>
      <c r="H27" s="694"/>
      <c r="I27" s="694"/>
      <c r="J27" s="694"/>
      <c r="K27" s="694"/>
      <c r="L27" s="694"/>
      <c r="M27" s="7"/>
      <c r="O27" s="609"/>
      <c r="P27" s="609"/>
      <c r="Q27" s="609"/>
      <c r="R27" s="609"/>
      <c r="S27" s="609"/>
      <c r="T27" s="609"/>
      <c r="U27" s="609"/>
      <c r="V27" s="609"/>
      <c r="W27" s="609"/>
      <c r="X27" s="609"/>
    </row>
    <row r="28" spans="2:24" s="613" customFormat="1" ht="12.75">
      <c r="B28" s="91"/>
      <c r="C28" s="91"/>
      <c r="D28" s="91"/>
      <c r="E28" s="91"/>
      <c r="F28" s="91"/>
      <c r="G28" s="91"/>
      <c r="H28" s="91"/>
      <c r="I28" s="91"/>
      <c r="J28" s="91"/>
      <c r="K28" s="21"/>
      <c r="L28" s="21"/>
      <c r="M28" s="7"/>
      <c r="O28" s="609"/>
      <c r="P28" s="609"/>
      <c r="Q28" s="609"/>
      <c r="R28" s="609"/>
      <c r="S28" s="609"/>
      <c r="T28" s="609"/>
      <c r="U28" s="609"/>
      <c r="V28" s="609"/>
      <c r="W28" s="609"/>
      <c r="X28" s="609"/>
    </row>
    <row r="29" spans="2:24" s="613" customFormat="1" ht="15.75">
      <c r="B29" s="12"/>
      <c r="C29" s="673" t="str">
        <f>Translations!$B$295</f>
        <v>How to use this file</v>
      </c>
      <c r="D29" s="673"/>
      <c r="E29" s="673"/>
      <c r="F29" s="673"/>
      <c r="G29" s="673"/>
      <c r="H29" s="673"/>
      <c r="I29" s="673"/>
      <c r="J29" s="673"/>
      <c r="K29" s="673"/>
      <c r="L29" s="673"/>
      <c r="M29" s="7"/>
      <c r="O29" s="609"/>
      <c r="P29" s="609"/>
      <c r="Q29" s="609"/>
      <c r="R29" s="609"/>
      <c r="S29" s="609"/>
      <c r="T29" s="609"/>
      <c r="U29" s="609"/>
      <c r="V29" s="609"/>
      <c r="W29" s="609"/>
      <c r="X29" s="609"/>
    </row>
    <row r="30" spans="2:24" s="613" customFormat="1" ht="12.75">
      <c r="B30" s="91"/>
      <c r="C30" s="91"/>
      <c r="D30" s="91"/>
      <c r="E30" s="91"/>
      <c r="F30" s="91"/>
      <c r="G30" s="91"/>
      <c r="H30" s="91"/>
      <c r="I30" s="91"/>
      <c r="J30" s="91"/>
      <c r="K30" s="21"/>
      <c r="L30" s="21"/>
      <c r="M30" s="7"/>
      <c r="O30" s="609"/>
      <c r="P30" s="609"/>
      <c r="Q30" s="609"/>
      <c r="R30" s="609"/>
      <c r="S30" s="609"/>
      <c r="T30" s="609"/>
      <c r="U30" s="609"/>
      <c r="V30" s="609"/>
      <c r="W30" s="609"/>
      <c r="X30" s="609"/>
    </row>
    <row r="31" spans="2:24" s="613" customFormat="1" ht="12.75">
      <c r="B31" s="187">
        <f>B27+1</f>
        <v>9</v>
      </c>
      <c r="C31" s="665" t="str">
        <f>Translations!$B$1009</f>
        <v>Automatic calculation (to be found in the menu Tools/Options) must be turned on.</v>
      </c>
      <c r="D31" s="674"/>
      <c r="E31" s="674"/>
      <c r="F31" s="674"/>
      <c r="G31" s="674"/>
      <c r="H31" s="674"/>
      <c r="I31" s="674"/>
      <c r="J31" s="674"/>
      <c r="K31" s="674"/>
      <c r="L31" s="674"/>
      <c r="M31" s="7"/>
      <c r="O31" s="609"/>
      <c r="P31" s="609"/>
      <c r="Q31" s="609"/>
      <c r="R31" s="609"/>
      <c r="S31" s="609"/>
      <c r="T31" s="609"/>
      <c r="U31" s="609"/>
      <c r="V31" s="609"/>
      <c r="W31" s="609"/>
      <c r="X31" s="609"/>
    </row>
    <row r="32" spans="2:24" s="613" customFormat="1" ht="25.5" customHeight="1">
      <c r="B32" s="184"/>
      <c r="C32" s="665" t="str">
        <f>Translations!$B$1521</f>
        <v>It is recommended that you go through the file from start to end. There are a few functions which will guide you through the form which depend on previous input, such as cells changing colour if an input is not needed (see colour codes below).</v>
      </c>
      <c r="D32" s="674"/>
      <c r="E32" s="674"/>
      <c r="F32" s="674"/>
      <c r="G32" s="674"/>
      <c r="H32" s="674"/>
      <c r="I32" s="674"/>
      <c r="J32" s="674"/>
      <c r="K32" s="674"/>
      <c r="L32" s="674"/>
      <c r="M32" s="7"/>
      <c r="O32" s="609"/>
      <c r="P32" s="609"/>
      <c r="Q32" s="609"/>
      <c r="R32" s="609"/>
      <c r="S32" s="609"/>
      <c r="T32" s="609"/>
      <c r="U32" s="609"/>
      <c r="V32" s="609"/>
      <c r="W32" s="609"/>
      <c r="X32" s="609"/>
    </row>
    <row r="33" spans="2:24" s="613" customFormat="1" ht="39.75" customHeight="1">
      <c r="B33" s="187"/>
      <c r="C33" s="665" t="str">
        <f>Translations!$B$297</f>
        <v>Whenever a value of zero is to be reported, it should be entered rather than keeping the cell empty. If a cell is kept empty, the CA does not know if the value has not been reported, is irrelevant or unknown. Values needed for calculations should always be entered (especially if zero, because some formulas don't give results as long as required cells are empty).</v>
      </c>
      <c r="D33" s="674"/>
      <c r="E33" s="674"/>
      <c r="F33" s="674"/>
      <c r="G33" s="674"/>
      <c r="H33" s="674"/>
      <c r="I33" s="674"/>
      <c r="J33" s="674"/>
      <c r="K33" s="674"/>
      <c r="L33" s="674"/>
      <c r="M33" s="7"/>
      <c r="O33" s="609"/>
      <c r="P33" s="609"/>
      <c r="Q33" s="609"/>
      <c r="R33" s="609"/>
      <c r="S33" s="609"/>
      <c r="T33" s="609"/>
      <c r="U33" s="609"/>
      <c r="V33" s="609"/>
      <c r="W33" s="609"/>
      <c r="X33" s="609"/>
    </row>
    <row r="34" spans="2:24" s="613" customFormat="1" ht="39.75" customHeight="1">
      <c r="B34" s="187"/>
      <c r="C34" s="665" t="str">
        <f>Translations!$B$298</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D34" s="674"/>
      <c r="E34" s="674"/>
      <c r="F34" s="674"/>
      <c r="G34" s="674"/>
      <c r="H34" s="674"/>
      <c r="I34" s="674"/>
      <c r="J34" s="674"/>
      <c r="K34" s="674"/>
      <c r="L34" s="674"/>
      <c r="M34" s="7"/>
      <c r="O34" s="609"/>
      <c r="P34" s="609"/>
      <c r="Q34" s="609"/>
      <c r="R34" s="609"/>
      <c r="S34" s="609"/>
      <c r="T34" s="609"/>
      <c r="U34" s="609"/>
      <c r="V34" s="609"/>
      <c r="W34" s="609"/>
      <c r="X34" s="609"/>
    </row>
    <row r="35" spans="2:24" s="613" customFormat="1" ht="25.5" customHeight="1">
      <c r="B35" s="187">
        <f>B31+1</f>
        <v>10</v>
      </c>
      <c r="C35" s="665" t="str">
        <f>Translations!$B$299</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D35" s="674"/>
      <c r="E35" s="674"/>
      <c r="F35" s="674"/>
      <c r="G35" s="674"/>
      <c r="H35" s="674"/>
      <c r="I35" s="674"/>
      <c r="J35" s="674"/>
      <c r="K35" s="674"/>
      <c r="L35" s="674"/>
      <c r="M35" s="7"/>
      <c r="O35" s="609"/>
      <c r="P35" s="609"/>
      <c r="Q35" s="609"/>
      <c r="R35" s="609"/>
      <c r="S35" s="609"/>
      <c r="T35" s="609"/>
      <c r="U35" s="609"/>
      <c r="V35" s="609"/>
      <c r="W35" s="609"/>
      <c r="X35" s="609"/>
    </row>
    <row r="36" spans="2:24" s="613" customFormat="1" ht="12.75" customHeight="1">
      <c r="B36" s="187"/>
      <c r="C36" s="665" t="str">
        <f>Translations!$B$300</f>
        <v>Special care must be taken of consistency of data with the units displayed.</v>
      </c>
      <c r="D36" s="674"/>
      <c r="E36" s="674"/>
      <c r="F36" s="674"/>
      <c r="G36" s="674"/>
      <c r="H36" s="674"/>
      <c r="I36" s="674"/>
      <c r="J36" s="674"/>
      <c r="K36" s="674"/>
      <c r="L36" s="674"/>
      <c r="M36" s="7"/>
      <c r="O36" s="609"/>
      <c r="P36" s="609"/>
      <c r="Q36" s="609"/>
      <c r="R36" s="609"/>
      <c r="S36" s="609"/>
      <c r="T36" s="609"/>
      <c r="U36" s="609"/>
      <c r="V36" s="609"/>
      <c r="W36" s="609"/>
      <c r="X36" s="609"/>
    </row>
    <row r="37" spans="2:24" s="613" customFormat="1" ht="12.75" customHeight="1">
      <c r="B37" s="187"/>
      <c r="C37" s="186" t="str">
        <f>Translations!$B$301</f>
        <v>Error messages are often very short due to the little space available. The most important ones are:</v>
      </c>
      <c r="D37" s="21"/>
      <c r="E37" s="21"/>
      <c r="F37" s="21"/>
      <c r="G37" s="21"/>
      <c r="H37" s="21"/>
      <c r="I37" s="21"/>
      <c r="J37" s="21"/>
      <c r="K37" s="21"/>
      <c r="L37" s="21"/>
      <c r="M37" s="7"/>
      <c r="O37" s="609"/>
      <c r="P37" s="609"/>
      <c r="Q37" s="609"/>
      <c r="R37" s="609"/>
      <c r="S37" s="609"/>
      <c r="T37" s="609"/>
      <c r="U37" s="609"/>
      <c r="V37" s="609"/>
      <c r="W37" s="609"/>
      <c r="X37" s="609"/>
    </row>
    <row r="38" spans="2:24" s="613" customFormat="1" ht="12.75" customHeight="1">
      <c r="B38" s="187"/>
      <c r="C38" s="186"/>
      <c r="D38" s="188" t="str">
        <f>EUconst_Incomplete</f>
        <v>incomplete!</v>
      </c>
      <c r="E38" s="686" t="str">
        <f>Translations!$B$302</f>
        <v>Means that data is not sufficient for calculation (e.g. an emission factor is missing in one year)</v>
      </c>
      <c r="F38" s="687"/>
      <c r="G38" s="687"/>
      <c r="H38" s="687"/>
      <c r="I38" s="687"/>
      <c r="J38" s="687"/>
      <c r="K38" s="687"/>
      <c r="L38" s="687"/>
      <c r="M38" s="7"/>
      <c r="O38" s="609"/>
      <c r="P38" s="609"/>
      <c r="Q38" s="609"/>
      <c r="R38" s="609"/>
      <c r="S38" s="609"/>
      <c r="T38" s="609"/>
      <c r="U38" s="609"/>
      <c r="V38" s="609"/>
      <c r="W38" s="609"/>
      <c r="X38" s="609"/>
    </row>
    <row r="39" spans="2:24" s="613" customFormat="1" ht="12.75" customHeight="1">
      <c r="B39" s="187"/>
      <c r="C39" s="186"/>
      <c r="D39" s="188" t="str">
        <f>EUconst_Inconsistent</f>
        <v>inconsistent!</v>
      </c>
      <c r="E39" s="686" t="str">
        <f>Translations!$B$303</f>
        <v>The units selected are inconsistent, and calculations based upon related inputs will give wrong results.</v>
      </c>
      <c r="F39" s="687"/>
      <c r="G39" s="687"/>
      <c r="H39" s="687"/>
      <c r="I39" s="687"/>
      <c r="J39" s="687"/>
      <c r="K39" s="687"/>
      <c r="L39" s="687"/>
      <c r="M39" s="7"/>
      <c r="O39" s="609"/>
      <c r="P39" s="609"/>
      <c r="Q39" s="609"/>
      <c r="R39" s="609"/>
      <c r="S39" s="609"/>
      <c r="T39" s="609"/>
      <c r="U39" s="609"/>
      <c r="V39" s="609"/>
      <c r="W39" s="609"/>
      <c r="X39" s="609"/>
    </row>
    <row r="40" spans="2:24" s="613" customFormat="1" ht="12.75" customHeight="1">
      <c r="B40" s="187"/>
      <c r="C40" s="186"/>
      <c r="D40" s="189" t="str">
        <f>Translations!$B$304</f>
        <v>Input in A.III.3 !</v>
      </c>
      <c r="E40" s="682" t="str">
        <f>Translations!$B$305</f>
        <v>These are references to document sections. This means that data in the referenced sections are missing.</v>
      </c>
      <c r="F40" s="683"/>
      <c r="G40" s="683"/>
      <c r="H40" s="683"/>
      <c r="I40" s="683"/>
      <c r="J40" s="683"/>
      <c r="K40" s="683"/>
      <c r="L40" s="683"/>
      <c r="M40" s="7"/>
      <c r="O40" s="609"/>
      <c r="P40" s="609"/>
      <c r="Q40" s="609"/>
      <c r="R40" s="609"/>
      <c r="S40" s="609"/>
      <c r="T40" s="609"/>
      <c r="U40" s="609"/>
      <c r="V40" s="609"/>
      <c r="W40" s="609"/>
      <c r="X40" s="609"/>
    </row>
    <row r="41" spans="2:24" s="613" customFormat="1" ht="12.75" customHeight="1">
      <c r="B41" s="187"/>
      <c r="C41" s="186"/>
      <c r="D41" s="190" t="s">
        <v>791</v>
      </c>
      <c r="E41" s="684"/>
      <c r="F41" s="685"/>
      <c r="G41" s="685"/>
      <c r="H41" s="685"/>
      <c r="I41" s="685"/>
      <c r="J41" s="685"/>
      <c r="K41" s="685"/>
      <c r="L41" s="685"/>
      <c r="M41" s="7"/>
      <c r="O41" s="609"/>
      <c r="P41" s="609"/>
      <c r="Q41" s="609"/>
      <c r="R41" s="609"/>
      <c r="S41" s="609"/>
      <c r="T41" s="609"/>
      <c r="U41" s="609"/>
      <c r="V41" s="609"/>
      <c r="W41" s="609"/>
      <c r="X41" s="609"/>
    </row>
    <row r="42" spans="2:24" s="613" customFormat="1" ht="12.75" customHeight="1">
      <c r="B42" s="187"/>
      <c r="C42" s="186"/>
      <c r="D42" s="186"/>
      <c r="E42" s="186"/>
      <c r="F42" s="186"/>
      <c r="G42" s="186"/>
      <c r="H42" s="186"/>
      <c r="I42" s="186"/>
      <c r="J42" s="186"/>
      <c r="K42" s="186"/>
      <c r="L42" s="186"/>
      <c r="M42" s="7"/>
      <c r="O42" s="609"/>
      <c r="P42" s="609"/>
      <c r="Q42" s="609"/>
      <c r="R42" s="609"/>
      <c r="S42" s="609"/>
      <c r="T42" s="609"/>
      <c r="U42" s="609"/>
      <c r="V42" s="609"/>
      <c r="W42" s="609"/>
      <c r="X42" s="609"/>
    </row>
    <row r="43" spans="2:24" s="601" customFormat="1" ht="12.75" customHeight="1">
      <c r="B43" s="187">
        <f>B35+1</f>
        <v>11</v>
      </c>
      <c r="C43" s="710" t="str">
        <f>Translations!$B$306</f>
        <v>Colour codes and fonts:</v>
      </c>
      <c r="D43" s="695"/>
      <c r="E43" s="695"/>
      <c r="F43" s="695"/>
      <c r="G43" s="695"/>
      <c r="H43" s="695"/>
      <c r="I43" s="695"/>
      <c r="J43" s="695"/>
      <c r="K43" s="695"/>
      <c r="L43" s="695"/>
      <c r="M43" s="98"/>
      <c r="O43" s="610"/>
      <c r="P43" s="610"/>
      <c r="Q43" s="610"/>
      <c r="R43" s="610"/>
      <c r="S43" s="610"/>
      <c r="T43" s="610"/>
      <c r="U43" s="610"/>
      <c r="V43" s="610"/>
      <c r="W43" s="610"/>
      <c r="X43" s="610"/>
    </row>
    <row r="44" spans="2:24" s="601" customFormat="1" ht="12.75" customHeight="1">
      <c r="B44" s="97"/>
      <c r="C44" s="696" t="str">
        <f>Translations!$B$307</f>
        <v>Black bold text:</v>
      </c>
      <c r="D44" s="695"/>
      <c r="E44" s="666" t="str">
        <f>Translations!$B$308</f>
        <v>This is text describing the input required.</v>
      </c>
      <c r="F44" s="666"/>
      <c r="G44" s="666"/>
      <c r="H44" s="666"/>
      <c r="I44" s="666"/>
      <c r="J44" s="666"/>
      <c r="K44" s="666"/>
      <c r="L44" s="667"/>
      <c r="M44" s="98"/>
      <c r="O44" s="610"/>
      <c r="P44" s="610"/>
      <c r="Q44" s="610"/>
      <c r="R44" s="610"/>
      <c r="S44" s="610"/>
      <c r="T44" s="610"/>
      <c r="U44" s="610"/>
      <c r="V44" s="610"/>
      <c r="W44" s="610"/>
      <c r="X44" s="610"/>
    </row>
    <row r="45" spans="2:24" s="601" customFormat="1" ht="12.75">
      <c r="B45" s="97"/>
      <c r="C45" s="697" t="str">
        <f>Translations!$B$309</f>
        <v>Smaller italic text:</v>
      </c>
      <c r="D45" s="698"/>
      <c r="E45" s="666" t="str">
        <f>Translations!$B$310</f>
        <v>This text gives further explanations. </v>
      </c>
      <c r="F45" s="666"/>
      <c r="G45" s="666"/>
      <c r="H45" s="666"/>
      <c r="I45" s="666"/>
      <c r="J45" s="666"/>
      <c r="K45" s="666"/>
      <c r="L45" s="667"/>
      <c r="M45" s="98"/>
      <c r="O45" s="610"/>
      <c r="P45" s="610"/>
      <c r="Q45" s="610"/>
      <c r="R45" s="610"/>
      <c r="S45" s="610"/>
      <c r="T45" s="610"/>
      <c r="U45" s="610"/>
      <c r="V45" s="610"/>
      <c r="W45" s="610"/>
      <c r="X45" s="610"/>
    </row>
    <row r="46" spans="2:24" s="601" customFormat="1" ht="12.75" customHeight="1">
      <c r="B46" s="97"/>
      <c r="C46" s="699"/>
      <c r="D46" s="689"/>
      <c r="E46" s="666" t="str">
        <f>Translations!$B$311</f>
        <v>Yellow fields indicate mandatory inputs. However, if the topic is not relevant for the installation, no input is required.</v>
      </c>
      <c r="F46" s="666"/>
      <c r="G46" s="666"/>
      <c r="H46" s="666"/>
      <c r="I46" s="666"/>
      <c r="J46" s="666"/>
      <c r="K46" s="666"/>
      <c r="L46" s="667"/>
      <c r="M46" s="98"/>
      <c r="O46" s="610"/>
      <c r="P46" s="610"/>
      <c r="Q46" s="610"/>
      <c r="R46" s="610"/>
      <c r="S46" s="610"/>
      <c r="T46" s="610"/>
      <c r="U46" s="610"/>
      <c r="V46" s="610"/>
      <c r="W46" s="610"/>
      <c r="X46" s="610"/>
    </row>
    <row r="47" spans="2:24" s="601" customFormat="1" ht="12.75">
      <c r="B47" s="97"/>
      <c r="C47" s="688"/>
      <c r="D47" s="689"/>
      <c r="E47" s="706" t="str">
        <f>Translations!$B$312</f>
        <v>Light yellow fields indicate that an input is optional.</v>
      </c>
      <c r="F47" s="695"/>
      <c r="G47" s="695"/>
      <c r="H47" s="695"/>
      <c r="I47" s="695"/>
      <c r="J47" s="695"/>
      <c r="K47" s="695"/>
      <c r="L47" s="695"/>
      <c r="M47" s="98"/>
      <c r="O47" s="610"/>
      <c r="P47" s="610"/>
      <c r="Q47" s="610"/>
      <c r="R47" s="610"/>
      <c r="S47" s="610"/>
      <c r="T47" s="610"/>
      <c r="U47" s="610"/>
      <c r="V47" s="610"/>
      <c r="W47" s="610"/>
      <c r="X47" s="610"/>
    </row>
    <row r="48" spans="2:24" s="601" customFormat="1" ht="12.75">
      <c r="B48" s="97"/>
      <c r="C48" s="690"/>
      <c r="D48" s="681"/>
      <c r="E48" s="706" t="str">
        <f>Translations!$B$313</f>
        <v>Green fields show automatically calculated results. Red text indicates error messages (missing data etc).</v>
      </c>
      <c r="F48" s="695"/>
      <c r="G48" s="695"/>
      <c r="H48" s="695"/>
      <c r="I48" s="695"/>
      <c r="J48" s="695"/>
      <c r="K48" s="695"/>
      <c r="L48" s="695"/>
      <c r="M48" s="98"/>
      <c r="O48" s="610"/>
      <c r="P48" s="610"/>
      <c r="Q48" s="610"/>
      <c r="R48" s="610"/>
      <c r="S48" s="610"/>
      <c r="T48" s="610"/>
      <c r="U48" s="610"/>
      <c r="V48" s="610"/>
      <c r="W48" s="610"/>
      <c r="X48" s="610"/>
    </row>
    <row r="49" spans="2:24" s="601" customFormat="1" ht="12.75" customHeight="1">
      <c r="B49" s="97"/>
      <c r="C49" s="680"/>
      <c r="D49" s="681"/>
      <c r="E49" s="666" t="str">
        <f>Translations!$B$314</f>
        <v>Shaded fields indicate that an input in another field makes the input here irrelevant.</v>
      </c>
      <c r="F49" s="666"/>
      <c r="G49" s="666"/>
      <c r="H49" s="666"/>
      <c r="I49" s="666"/>
      <c r="J49" s="666"/>
      <c r="K49" s="666"/>
      <c r="L49" s="667"/>
      <c r="M49" s="98"/>
      <c r="O49" s="610"/>
      <c r="P49" s="610"/>
      <c r="Q49" s="610"/>
      <c r="R49" s="610"/>
      <c r="S49" s="610"/>
      <c r="T49" s="610"/>
      <c r="U49" s="610"/>
      <c r="V49" s="610"/>
      <c r="W49" s="610"/>
      <c r="X49" s="610"/>
    </row>
    <row r="50" spans="2:24" s="601" customFormat="1" ht="12.75">
      <c r="B50" s="97"/>
      <c r="C50" s="708"/>
      <c r="D50" s="708"/>
      <c r="E50" s="666" t="str">
        <f>Translations!$B$315</f>
        <v>Grey shaded areas should be filled by Member States before publishing a customized version of the template.</v>
      </c>
      <c r="F50" s="695"/>
      <c r="G50" s="695"/>
      <c r="H50" s="695"/>
      <c r="I50" s="695"/>
      <c r="J50" s="695"/>
      <c r="K50" s="695"/>
      <c r="L50" s="695"/>
      <c r="M50" s="98"/>
      <c r="O50" s="610"/>
      <c r="P50" s="610"/>
      <c r="Q50" s="610"/>
      <c r="R50" s="610"/>
      <c r="S50" s="610"/>
      <c r="T50" s="610"/>
      <c r="U50" s="610"/>
      <c r="V50" s="610"/>
      <c r="W50" s="610"/>
      <c r="X50" s="610"/>
    </row>
    <row r="51" spans="2:24" s="601" customFormat="1" ht="12.75">
      <c r="B51" s="97"/>
      <c r="C51" s="709"/>
      <c r="D51" s="709"/>
      <c r="E51" s="666" t="str">
        <f>Translations!$B$316</f>
        <v>Light grey areas are dedicated for navigation and hyperlinks.</v>
      </c>
      <c r="F51" s="695"/>
      <c r="G51" s="695"/>
      <c r="H51" s="695"/>
      <c r="I51" s="695"/>
      <c r="J51" s="695"/>
      <c r="K51" s="695"/>
      <c r="L51" s="695"/>
      <c r="M51" s="98"/>
      <c r="O51" s="610"/>
      <c r="P51" s="610"/>
      <c r="Q51" s="610"/>
      <c r="R51" s="610"/>
      <c r="S51" s="610"/>
      <c r="T51" s="610"/>
      <c r="U51" s="610"/>
      <c r="V51" s="610"/>
      <c r="W51" s="610"/>
      <c r="X51" s="610"/>
    </row>
    <row r="52" spans="2:24" s="601" customFormat="1" ht="12.75">
      <c r="B52" s="97"/>
      <c r="C52" s="99"/>
      <c r="D52" s="100"/>
      <c r="E52" s="97"/>
      <c r="F52" s="97"/>
      <c r="G52" s="97"/>
      <c r="H52" s="97"/>
      <c r="I52" s="97"/>
      <c r="J52" s="97"/>
      <c r="K52" s="97"/>
      <c r="L52" s="98"/>
      <c r="M52" s="98"/>
      <c r="O52" s="610"/>
      <c r="P52" s="610"/>
      <c r="Q52" s="610"/>
      <c r="R52" s="610"/>
      <c r="S52" s="610"/>
      <c r="T52" s="610"/>
      <c r="U52" s="610"/>
      <c r="V52" s="610"/>
      <c r="W52" s="610"/>
      <c r="X52" s="610"/>
    </row>
    <row r="53" spans="2:24" s="613" customFormat="1" ht="39.75" customHeight="1">
      <c r="B53" s="187">
        <f>B43+1</f>
        <v>12</v>
      </c>
      <c r="C53" s="665" t="str">
        <f>Translations!$B$317</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D53" s="674"/>
      <c r="E53" s="674"/>
      <c r="F53" s="674"/>
      <c r="G53" s="674"/>
      <c r="H53" s="674"/>
      <c r="I53" s="674"/>
      <c r="J53" s="674"/>
      <c r="K53" s="674"/>
      <c r="L53" s="674"/>
      <c r="M53" s="7"/>
      <c r="O53" s="609"/>
      <c r="P53" s="609"/>
      <c r="Q53" s="609"/>
      <c r="R53" s="609"/>
      <c r="S53" s="609"/>
      <c r="T53" s="609"/>
      <c r="U53" s="609"/>
      <c r="V53" s="609"/>
      <c r="W53" s="609"/>
      <c r="X53" s="609"/>
    </row>
    <row r="54" spans="2:24" s="613" customFormat="1" ht="39.75" customHeight="1">
      <c r="B54" s="187">
        <f>B53+1</f>
        <v>13</v>
      </c>
      <c r="C54" s="665" t="str">
        <f>Translations!$B$318</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D54" s="674"/>
      <c r="E54" s="674"/>
      <c r="F54" s="674"/>
      <c r="G54" s="674"/>
      <c r="H54" s="674"/>
      <c r="I54" s="674"/>
      <c r="J54" s="674"/>
      <c r="K54" s="674"/>
      <c r="L54" s="674"/>
      <c r="M54" s="7"/>
      <c r="O54" s="609"/>
      <c r="P54" s="609"/>
      <c r="Q54" s="609"/>
      <c r="R54" s="609"/>
      <c r="S54" s="609"/>
      <c r="T54" s="609"/>
      <c r="U54" s="609"/>
      <c r="V54" s="609"/>
      <c r="W54" s="609"/>
      <c r="X54" s="609"/>
    </row>
    <row r="55" spans="2:24" s="613" customFormat="1" ht="39.75" customHeight="1">
      <c r="B55" s="187">
        <f>B54+1</f>
        <v>14</v>
      </c>
      <c r="C55" s="716" t="str">
        <f>Translations!$B$319</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D55" s="717"/>
      <c r="E55" s="717"/>
      <c r="F55" s="717"/>
      <c r="G55" s="717"/>
      <c r="H55" s="717"/>
      <c r="I55" s="717"/>
      <c r="J55" s="717"/>
      <c r="K55" s="717"/>
      <c r="L55" s="717"/>
      <c r="M55" s="7"/>
      <c r="O55" s="609"/>
      <c r="P55" s="609"/>
      <c r="Q55" s="609"/>
      <c r="R55" s="609"/>
      <c r="S55" s="609"/>
      <c r="T55" s="609"/>
      <c r="U55" s="609"/>
      <c r="V55" s="609"/>
      <c r="W55" s="609"/>
      <c r="X55" s="609"/>
    </row>
    <row r="56" spans="2:24" s="613" customFormat="1" ht="51.75" customHeight="1">
      <c r="B56" s="187">
        <f>B55+1</f>
        <v>15</v>
      </c>
      <c r="C56" s="665" t="str">
        <f>Translations!$B$320</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D56" s="674"/>
      <c r="E56" s="674"/>
      <c r="F56" s="674"/>
      <c r="G56" s="674"/>
      <c r="H56" s="674"/>
      <c r="I56" s="674"/>
      <c r="J56" s="674"/>
      <c r="K56" s="674"/>
      <c r="L56" s="674"/>
      <c r="M56" s="7"/>
      <c r="O56" s="609"/>
      <c r="P56" s="609"/>
      <c r="Q56" s="609"/>
      <c r="R56" s="609"/>
      <c r="S56" s="609"/>
      <c r="T56" s="609"/>
      <c r="U56" s="609"/>
      <c r="V56" s="609"/>
      <c r="W56" s="609"/>
      <c r="X56" s="609"/>
    </row>
    <row r="57" spans="2:24" s="613" customFormat="1" ht="12.75" customHeight="1" thickBot="1">
      <c r="B57" s="184"/>
      <c r="C57" s="665"/>
      <c r="D57" s="674"/>
      <c r="E57" s="674"/>
      <c r="F57" s="674"/>
      <c r="G57" s="674"/>
      <c r="H57" s="674"/>
      <c r="I57" s="674"/>
      <c r="J57" s="674"/>
      <c r="K57" s="674"/>
      <c r="L57" s="674"/>
      <c r="M57" s="7"/>
      <c r="O57" s="609"/>
      <c r="P57" s="609"/>
      <c r="Q57" s="609"/>
      <c r="R57" s="609"/>
      <c r="S57" s="609"/>
      <c r="T57" s="609"/>
      <c r="U57" s="609"/>
      <c r="V57" s="609"/>
      <c r="W57" s="609"/>
      <c r="X57" s="609"/>
    </row>
    <row r="58" spans="2:24" s="613" customFormat="1" ht="72" customHeight="1" thickBot="1">
      <c r="B58" s="187">
        <f>B56+1</f>
        <v>16</v>
      </c>
      <c r="C58" s="700" t="str">
        <f>Translations!$B$321</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D58" s="701"/>
      <c r="E58" s="701"/>
      <c r="F58" s="701"/>
      <c r="G58" s="701"/>
      <c r="H58" s="701"/>
      <c r="I58" s="701"/>
      <c r="J58" s="701"/>
      <c r="K58" s="701"/>
      <c r="L58" s="702"/>
      <c r="M58" s="7"/>
      <c r="O58" s="609"/>
      <c r="P58" s="609"/>
      <c r="Q58" s="609"/>
      <c r="R58" s="609"/>
      <c r="S58" s="609"/>
      <c r="T58" s="609"/>
      <c r="U58" s="609"/>
      <c r="V58" s="609"/>
      <c r="W58" s="609"/>
      <c r="X58" s="609"/>
    </row>
    <row r="59" spans="2:13" ht="12.75">
      <c r="B59" s="86"/>
      <c r="C59" s="86"/>
      <c r="D59" s="86"/>
      <c r="E59" s="86"/>
      <c r="F59" s="86"/>
      <c r="G59" s="86"/>
      <c r="H59" s="86"/>
      <c r="I59" s="86"/>
      <c r="J59" s="86"/>
      <c r="K59" s="86"/>
      <c r="L59" s="89"/>
      <c r="M59" s="89"/>
    </row>
    <row r="60" spans="2:13" ht="12.75">
      <c r="B60" s="86"/>
      <c r="C60" s="86"/>
      <c r="D60" s="86"/>
      <c r="E60" s="86"/>
      <c r="F60" s="86"/>
      <c r="G60" s="86"/>
      <c r="H60" s="86"/>
      <c r="I60" s="86"/>
      <c r="J60" s="86"/>
      <c r="K60" s="86"/>
      <c r="L60" s="89"/>
      <c r="M60" s="89"/>
    </row>
    <row r="61" spans="2:24" s="613" customFormat="1" ht="15.75">
      <c r="B61" s="12"/>
      <c r="C61" s="673" t="str">
        <f>Translations!$B$322</f>
        <v>Member State specific information:</v>
      </c>
      <c r="D61" s="673"/>
      <c r="E61" s="673"/>
      <c r="F61" s="673"/>
      <c r="G61" s="673"/>
      <c r="H61" s="673"/>
      <c r="I61" s="673"/>
      <c r="J61" s="673"/>
      <c r="K61" s="673"/>
      <c r="L61" s="673"/>
      <c r="M61" s="7"/>
      <c r="O61" s="609"/>
      <c r="P61" s="609"/>
      <c r="Q61" s="609"/>
      <c r="R61" s="609"/>
      <c r="S61" s="609"/>
      <c r="T61" s="609"/>
      <c r="U61" s="609"/>
      <c r="V61" s="609"/>
      <c r="W61" s="609"/>
      <c r="X61" s="609"/>
    </row>
    <row r="62" spans="2:24" s="613" customFormat="1" ht="12.75">
      <c r="B62" s="91"/>
      <c r="C62" s="91"/>
      <c r="D62" s="91"/>
      <c r="E62" s="91"/>
      <c r="F62" s="91"/>
      <c r="G62" s="91"/>
      <c r="H62" s="91"/>
      <c r="I62" s="91"/>
      <c r="J62" s="91"/>
      <c r="K62" s="21"/>
      <c r="L62" s="21"/>
      <c r="M62" s="7"/>
      <c r="O62" s="609"/>
      <c r="P62" s="609"/>
      <c r="Q62" s="609"/>
      <c r="R62" s="609"/>
      <c r="S62" s="609"/>
      <c r="T62" s="609"/>
      <c r="U62" s="609"/>
      <c r="V62" s="609"/>
      <c r="W62" s="609"/>
      <c r="X62" s="609"/>
    </row>
    <row r="63" spans="2:24" s="613" customFormat="1" ht="15" customHeight="1">
      <c r="B63" s="21"/>
      <c r="C63" s="692" t="str">
        <f>Translations!$B$323</f>
        <v>This Report must be submitted to your Competent Authority to the following address:</v>
      </c>
      <c r="D63" s="692"/>
      <c r="E63" s="692"/>
      <c r="F63" s="692"/>
      <c r="G63" s="692"/>
      <c r="H63" s="692"/>
      <c r="I63" s="692"/>
      <c r="J63" s="692"/>
      <c r="K63" s="692"/>
      <c r="L63" s="692"/>
      <c r="M63" s="7"/>
      <c r="O63" s="609"/>
      <c r="P63" s="609"/>
      <c r="Q63" s="609"/>
      <c r="R63" s="609"/>
      <c r="S63" s="609"/>
      <c r="T63" s="609"/>
      <c r="U63" s="609"/>
      <c r="V63" s="609"/>
      <c r="W63" s="609"/>
      <c r="X63" s="609"/>
    </row>
    <row r="64" spans="2:13" ht="12.75">
      <c r="B64" s="97"/>
      <c r="C64" s="97"/>
      <c r="D64" s="97"/>
      <c r="E64" s="97"/>
      <c r="F64" s="97"/>
      <c r="G64" s="97"/>
      <c r="H64" s="97"/>
      <c r="I64" s="97"/>
      <c r="J64" s="97"/>
      <c r="K64" s="97"/>
      <c r="L64" s="98"/>
      <c r="M64" s="89"/>
    </row>
    <row r="65" spans="2:13" ht="12.75">
      <c r="B65" s="97"/>
      <c r="C65" s="97"/>
      <c r="D65" s="97"/>
      <c r="E65" s="718" t="str">
        <f>Translations!$B$324</f>
        <v>Detail address to be provided by the Member State</v>
      </c>
      <c r="F65" s="719"/>
      <c r="G65" s="719"/>
      <c r="H65" s="720"/>
      <c r="I65" s="97"/>
      <c r="J65" s="97"/>
      <c r="K65" s="97"/>
      <c r="L65" s="98"/>
      <c r="M65" s="89"/>
    </row>
    <row r="66" spans="2:13" ht="12.75">
      <c r="B66" s="97"/>
      <c r="C66" s="97"/>
      <c r="D66" s="97"/>
      <c r="E66" s="721"/>
      <c r="F66" s="722"/>
      <c r="G66" s="722"/>
      <c r="H66" s="723"/>
      <c r="I66" s="97"/>
      <c r="J66" s="97"/>
      <c r="K66" s="97"/>
      <c r="L66" s="98"/>
      <c r="M66" s="89"/>
    </row>
    <row r="67" spans="2:13" ht="12.75">
      <c r="B67" s="97"/>
      <c r="C67" s="97"/>
      <c r="D67" s="97"/>
      <c r="E67" s="721"/>
      <c r="F67" s="722"/>
      <c r="G67" s="722"/>
      <c r="H67" s="723"/>
      <c r="I67" s="97"/>
      <c r="J67" s="97"/>
      <c r="K67" s="97"/>
      <c r="L67" s="98"/>
      <c r="M67" s="89"/>
    </row>
    <row r="68" spans="2:13" ht="12.75">
      <c r="B68" s="97"/>
      <c r="C68" s="86"/>
      <c r="D68" s="97"/>
      <c r="E68" s="721"/>
      <c r="F68" s="722"/>
      <c r="G68" s="722"/>
      <c r="H68" s="723"/>
      <c r="I68" s="97"/>
      <c r="J68" s="97"/>
      <c r="K68" s="97"/>
      <c r="L68" s="98"/>
      <c r="M68" s="89"/>
    </row>
    <row r="69" spans="2:13" ht="12.75">
      <c r="B69" s="97"/>
      <c r="C69" s="97"/>
      <c r="D69" s="97"/>
      <c r="E69" s="721"/>
      <c r="F69" s="722"/>
      <c r="G69" s="722"/>
      <c r="H69" s="723"/>
      <c r="I69" s="97"/>
      <c r="J69" s="97"/>
      <c r="K69" s="97"/>
      <c r="L69" s="98"/>
      <c r="M69" s="89"/>
    </row>
    <row r="70" spans="2:13" ht="12.75">
      <c r="B70" s="97"/>
      <c r="C70" s="97"/>
      <c r="D70" s="97"/>
      <c r="E70" s="721"/>
      <c r="F70" s="722"/>
      <c r="G70" s="722"/>
      <c r="H70" s="723"/>
      <c r="I70" s="97"/>
      <c r="J70" s="97"/>
      <c r="K70" s="97"/>
      <c r="L70" s="98"/>
      <c r="M70" s="89"/>
    </row>
    <row r="71" spans="2:13" ht="12.75">
      <c r="B71" s="97"/>
      <c r="C71" s="97"/>
      <c r="D71" s="97"/>
      <c r="E71" s="721"/>
      <c r="F71" s="722"/>
      <c r="G71" s="722"/>
      <c r="H71" s="723"/>
      <c r="I71" s="97"/>
      <c r="J71" s="97"/>
      <c r="K71" s="97"/>
      <c r="L71" s="98"/>
      <c r="M71" s="89"/>
    </row>
    <row r="72" spans="2:13" ht="12.75">
      <c r="B72" s="97"/>
      <c r="C72" s="97"/>
      <c r="D72" s="97"/>
      <c r="E72" s="724"/>
      <c r="F72" s="725"/>
      <c r="G72" s="725"/>
      <c r="H72" s="726"/>
      <c r="I72" s="97"/>
      <c r="J72" s="97"/>
      <c r="K72" s="97"/>
      <c r="L72" s="98"/>
      <c r="M72" s="89"/>
    </row>
    <row r="73" spans="2:13" ht="12.75">
      <c r="B73" s="97"/>
      <c r="C73" s="97"/>
      <c r="D73" s="97"/>
      <c r="E73" s="97"/>
      <c r="F73" s="97"/>
      <c r="G73" s="97"/>
      <c r="H73" s="97"/>
      <c r="I73" s="97"/>
      <c r="J73" s="97"/>
      <c r="K73" s="97"/>
      <c r="L73" s="98"/>
      <c r="M73" s="89"/>
    </row>
    <row r="74" spans="2:13" ht="12.75">
      <c r="B74" s="86"/>
      <c r="C74" s="86"/>
      <c r="D74" s="86"/>
      <c r="E74" s="86"/>
      <c r="F74" s="86"/>
      <c r="G74" s="86"/>
      <c r="H74" s="86"/>
      <c r="I74" s="86"/>
      <c r="J74" s="86"/>
      <c r="K74" s="86"/>
      <c r="L74" s="89"/>
      <c r="M74" s="89"/>
    </row>
    <row r="75" spans="2:13" ht="15.75">
      <c r="B75" s="89"/>
      <c r="C75" s="707" t="str">
        <f>Translations!$B$325</f>
        <v>Information sources:</v>
      </c>
      <c r="D75" s="707"/>
      <c r="E75" s="707"/>
      <c r="F75" s="707"/>
      <c r="G75" s="707"/>
      <c r="H75" s="707"/>
      <c r="I75" s="707"/>
      <c r="J75" s="707"/>
      <c r="K75" s="707"/>
      <c r="L75" s="707"/>
      <c r="M75" s="89"/>
    </row>
    <row r="76" spans="2:13" ht="12.75">
      <c r="B76" s="89"/>
      <c r="C76" s="696" t="str">
        <f>Translations!$B$326</f>
        <v>EU Websites:</v>
      </c>
      <c r="D76" s="695"/>
      <c r="E76" s="695"/>
      <c r="F76" s="695"/>
      <c r="G76" s="695"/>
      <c r="H76" s="695"/>
      <c r="I76" s="695"/>
      <c r="J76" s="695"/>
      <c r="K76" s="695"/>
      <c r="L76" s="695"/>
      <c r="M76" s="89"/>
    </row>
    <row r="77" spans="2:13" ht="12.75">
      <c r="B77" s="89"/>
      <c r="C77" s="692" t="str">
        <f>Translations!$B$327</f>
        <v>EU-Legislation:</v>
      </c>
      <c r="D77" s="692"/>
      <c r="E77" s="714" t="str">
        <f>Translations!$B$328</f>
        <v>http://eur-lex.europa.eu/en/index.htm </v>
      </c>
      <c r="F77" s="695"/>
      <c r="G77" s="695"/>
      <c r="H77" s="695"/>
      <c r="I77" s="695"/>
      <c r="J77" s="695"/>
      <c r="K77" s="695"/>
      <c r="L77" s="695"/>
      <c r="M77" s="89"/>
    </row>
    <row r="78" spans="2:13" ht="12.75">
      <c r="B78" s="89"/>
      <c r="C78" s="692" t="str">
        <f>Translations!$B$329</f>
        <v>EU ETS general:</v>
      </c>
      <c r="D78" s="692"/>
      <c r="E78" s="714" t="str">
        <f>Translations!$B$330</f>
        <v>http://ec.europa.eu/clima/policies/ets/index_en.htm</v>
      </c>
      <c r="F78" s="695"/>
      <c r="G78" s="695"/>
      <c r="H78" s="695"/>
      <c r="I78" s="695"/>
      <c r="J78" s="695"/>
      <c r="K78" s="695"/>
      <c r="L78" s="695"/>
      <c r="M78" s="89"/>
    </row>
    <row r="79" spans="2:13" ht="12.75">
      <c r="B79" s="89"/>
      <c r="C79" s="727" t="str">
        <f>Translations!$B$1024</f>
        <v>Guidance documents and templates published by the Commission regarding allocation rules:</v>
      </c>
      <c r="D79" s="695"/>
      <c r="E79" s="695"/>
      <c r="F79" s="695"/>
      <c r="G79" s="695"/>
      <c r="H79" s="695"/>
      <c r="I79" s="695"/>
      <c r="J79" s="695"/>
      <c r="K79" s="695"/>
      <c r="L79" s="695"/>
      <c r="M79" s="89"/>
    </row>
    <row r="80" spans="2:13" ht="12.75">
      <c r="B80" s="89"/>
      <c r="C80" s="727"/>
      <c r="D80" s="692"/>
      <c r="E80" s="714" t="str">
        <f>Translations!$B$1025</f>
        <v>http://ec.europa.eu/clima/policies/ets/benchmarking/documentation_en.htm</v>
      </c>
      <c r="F80" s="715"/>
      <c r="G80" s="715"/>
      <c r="H80" s="715"/>
      <c r="I80" s="715"/>
      <c r="J80" s="715"/>
      <c r="K80" s="715"/>
      <c r="L80" s="715"/>
      <c r="M80" s="89"/>
    </row>
    <row r="81" spans="2:13" ht="12.75">
      <c r="B81" s="86"/>
      <c r="C81" s="86"/>
      <c r="D81" s="185"/>
      <c r="E81" s="5"/>
      <c r="F81" s="5"/>
      <c r="G81" s="5"/>
      <c r="H81" s="5"/>
      <c r="I81" s="5"/>
      <c r="J81" s="86"/>
      <c r="K81" s="86"/>
      <c r="L81" s="89"/>
      <c r="M81" s="89"/>
    </row>
    <row r="82" spans="2:13" ht="12.75">
      <c r="B82" s="89"/>
      <c r="C82" s="696" t="str">
        <f>Translations!$B$331</f>
        <v>Other Websites:</v>
      </c>
      <c r="D82" s="695"/>
      <c r="E82" s="695"/>
      <c r="F82" s="695"/>
      <c r="G82" s="695"/>
      <c r="H82" s="695"/>
      <c r="I82" s="695"/>
      <c r="J82" s="695"/>
      <c r="K82" s="695"/>
      <c r="L82" s="695"/>
      <c r="M82" s="89"/>
    </row>
    <row r="83" spans="2:13" ht="12.75">
      <c r="B83" s="89"/>
      <c r="C83" s="691" t="str">
        <f>Translations!$B$332</f>
        <v>&lt;to be provided by Member State&gt;</v>
      </c>
      <c r="D83" s="691"/>
      <c r="E83" s="691"/>
      <c r="F83" s="691"/>
      <c r="G83" s="691"/>
      <c r="H83" s="691"/>
      <c r="I83" s="691"/>
      <c r="J83" s="691"/>
      <c r="K83" s="691"/>
      <c r="L83" s="691"/>
      <c r="M83" s="89"/>
    </row>
    <row r="84" spans="2:13" ht="12.75">
      <c r="B84" s="89"/>
      <c r="C84" s="691"/>
      <c r="D84" s="691"/>
      <c r="E84" s="691"/>
      <c r="F84" s="691"/>
      <c r="G84" s="691"/>
      <c r="H84" s="691"/>
      <c r="I84" s="691"/>
      <c r="J84" s="691"/>
      <c r="K84" s="691"/>
      <c r="L84" s="691"/>
      <c r="M84" s="89"/>
    </row>
    <row r="85" spans="2:13" ht="12.75">
      <c r="B85" s="89"/>
      <c r="C85" s="692" t="str">
        <f>Translations!$B$333</f>
        <v>Helpdesk:</v>
      </c>
      <c r="D85" s="692"/>
      <c r="E85" s="692"/>
      <c r="F85" s="692"/>
      <c r="G85" s="692"/>
      <c r="H85" s="692"/>
      <c r="I85" s="692"/>
      <c r="J85" s="692"/>
      <c r="K85" s="692"/>
      <c r="L85" s="692"/>
      <c r="M85" s="89"/>
    </row>
    <row r="86" spans="2:13" ht="12.75">
      <c r="B86" s="89"/>
      <c r="C86" s="691" t="str">
        <f>Translations!$B$334</f>
        <v>&lt;to be provided by Member State, if relevant&gt;</v>
      </c>
      <c r="D86" s="691"/>
      <c r="E86" s="691"/>
      <c r="F86" s="691"/>
      <c r="G86" s="691"/>
      <c r="H86" s="691"/>
      <c r="I86" s="691"/>
      <c r="J86" s="691"/>
      <c r="K86" s="691"/>
      <c r="L86" s="691"/>
      <c r="M86" s="89"/>
    </row>
    <row r="87" spans="2:13" ht="12.75">
      <c r="B87" s="89"/>
      <c r="C87" s="691"/>
      <c r="D87" s="691"/>
      <c r="E87" s="691"/>
      <c r="F87" s="691"/>
      <c r="G87" s="691"/>
      <c r="H87" s="691"/>
      <c r="I87" s="691"/>
      <c r="J87" s="691"/>
      <c r="K87" s="691"/>
      <c r="L87" s="691"/>
      <c r="M87" s="89"/>
    </row>
    <row r="88" spans="2:13" ht="12.75">
      <c r="B88" s="89"/>
      <c r="C88" s="5"/>
      <c r="D88" s="5"/>
      <c r="E88" s="5"/>
      <c r="F88" s="5"/>
      <c r="G88" s="5"/>
      <c r="H88" s="5"/>
      <c r="I88" s="5"/>
      <c r="J88" s="5"/>
      <c r="K88" s="5"/>
      <c r="L88" s="5"/>
      <c r="M88" s="89"/>
    </row>
    <row r="89" spans="2:24" s="601" customFormat="1" ht="12.75">
      <c r="B89" s="98"/>
      <c r="C89" s="97"/>
      <c r="D89" s="97"/>
      <c r="E89" s="97"/>
      <c r="F89" s="97"/>
      <c r="G89" s="97"/>
      <c r="H89" s="97"/>
      <c r="I89" s="97"/>
      <c r="J89" s="97"/>
      <c r="K89" s="97"/>
      <c r="L89" s="97"/>
      <c r="M89" s="98"/>
      <c r="O89" s="610"/>
      <c r="P89" s="610"/>
      <c r="Q89" s="610"/>
      <c r="R89" s="610"/>
      <c r="S89" s="610"/>
      <c r="T89" s="610"/>
      <c r="U89" s="610"/>
      <c r="V89" s="610"/>
      <c r="W89" s="610"/>
      <c r="X89" s="610"/>
    </row>
    <row r="90" spans="2:13" ht="15.75">
      <c r="B90" s="89"/>
      <c r="C90" s="704" t="str">
        <f>Translations!$B$335</f>
        <v>Further guidance as provided by the Member State:</v>
      </c>
      <c r="D90" s="704"/>
      <c r="E90" s="704"/>
      <c r="F90" s="704"/>
      <c r="G90" s="704"/>
      <c r="H90" s="704"/>
      <c r="I90" s="704"/>
      <c r="J90" s="704"/>
      <c r="K90" s="704"/>
      <c r="L90" s="704"/>
      <c r="M90" s="89"/>
    </row>
    <row r="91" spans="2:13" ht="12.75">
      <c r="B91" s="89"/>
      <c r="C91" s="691"/>
      <c r="D91" s="691"/>
      <c r="E91" s="691"/>
      <c r="F91" s="691"/>
      <c r="G91" s="691"/>
      <c r="H91" s="691"/>
      <c r="I91" s="691"/>
      <c r="J91" s="691"/>
      <c r="K91" s="691"/>
      <c r="L91" s="691"/>
      <c r="M91" s="89"/>
    </row>
    <row r="92" spans="2:13" ht="12.75">
      <c r="B92" s="89"/>
      <c r="C92" s="691"/>
      <c r="D92" s="691"/>
      <c r="E92" s="691"/>
      <c r="F92" s="691"/>
      <c r="G92" s="691"/>
      <c r="H92" s="691"/>
      <c r="I92" s="691"/>
      <c r="J92" s="691"/>
      <c r="K92" s="691"/>
      <c r="L92" s="691"/>
      <c r="M92" s="89"/>
    </row>
    <row r="93" spans="2:13" ht="12.75">
      <c r="B93" s="89"/>
      <c r="C93" s="691"/>
      <c r="D93" s="691"/>
      <c r="E93" s="691"/>
      <c r="F93" s="691"/>
      <c r="G93" s="691"/>
      <c r="H93" s="691"/>
      <c r="I93" s="691"/>
      <c r="J93" s="691"/>
      <c r="K93" s="691"/>
      <c r="L93" s="691"/>
      <c r="M93" s="89"/>
    </row>
    <row r="94" spans="2:13" ht="12.75">
      <c r="B94" s="89"/>
      <c r="C94" s="691"/>
      <c r="D94" s="691"/>
      <c r="E94" s="691"/>
      <c r="F94" s="691"/>
      <c r="G94" s="691"/>
      <c r="H94" s="691"/>
      <c r="I94" s="691"/>
      <c r="J94" s="691"/>
      <c r="K94" s="691"/>
      <c r="L94" s="691"/>
      <c r="M94" s="89"/>
    </row>
    <row r="95" spans="2:13" ht="12.75">
      <c r="B95" s="89"/>
      <c r="C95" s="691"/>
      <c r="D95" s="691"/>
      <c r="E95" s="691"/>
      <c r="F95" s="691"/>
      <c r="G95" s="691"/>
      <c r="H95" s="691"/>
      <c r="I95" s="691"/>
      <c r="J95" s="691"/>
      <c r="K95" s="691"/>
      <c r="L95" s="691"/>
      <c r="M95" s="89"/>
    </row>
    <row r="96" spans="2:13" ht="12.75">
      <c r="B96" s="89"/>
      <c r="C96" s="691"/>
      <c r="D96" s="691"/>
      <c r="E96" s="691"/>
      <c r="F96" s="691"/>
      <c r="G96" s="691"/>
      <c r="H96" s="691"/>
      <c r="I96" s="691"/>
      <c r="J96" s="691"/>
      <c r="K96" s="691"/>
      <c r="L96" s="691"/>
      <c r="M96" s="89"/>
    </row>
    <row r="97" spans="2:13" ht="12.75">
      <c r="B97" s="89"/>
      <c r="C97" s="691"/>
      <c r="D97" s="691"/>
      <c r="E97" s="691"/>
      <c r="F97" s="691"/>
      <c r="G97" s="691"/>
      <c r="H97" s="691"/>
      <c r="I97" s="691"/>
      <c r="J97" s="691"/>
      <c r="K97" s="691"/>
      <c r="L97" s="691"/>
      <c r="M97" s="89"/>
    </row>
    <row r="98" spans="2:13" ht="12.75">
      <c r="B98" s="89"/>
      <c r="C98" s="691"/>
      <c r="D98" s="691"/>
      <c r="E98" s="691"/>
      <c r="F98" s="691"/>
      <c r="G98" s="691"/>
      <c r="H98" s="691"/>
      <c r="I98" s="691"/>
      <c r="J98" s="691"/>
      <c r="K98" s="691"/>
      <c r="L98" s="691"/>
      <c r="M98" s="89"/>
    </row>
    <row r="99" spans="2:13" ht="12.75">
      <c r="B99" s="89"/>
      <c r="C99" s="691"/>
      <c r="D99" s="691"/>
      <c r="E99" s="691"/>
      <c r="F99" s="691"/>
      <c r="G99" s="691"/>
      <c r="H99" s="691"/>
      <c r="I99" s="691"/>
      <c r="J99" s="691"/>
      <c r="K99" s="691"/>
      <c r="L99" s="691"/>
      <c r="M99" s="89"/>
    </row>
    <row r="100" spans="2:13" ht="12.75">
      <c r="B100" s="89"/>
      <c r="C100" s="691"/>
      <c r="D100" s="691"/>
      <c r="E100" s="691"/>
      <c r="F100" s="691"/>
      <c r="G100" s="691"/>
      <c r="H100" s="691"/>
      <c r="I100" s="691"/>
      <c r="J100" s="691"/>
      <c r="K100" s="691"/>
      <c r="L100" s="691"/>
      <c r="M100" s="89"/>
    </row>
    <row r="101" spans="2:13" ht="12.75">
      <c r="B101" s="89"/>
      <c r="C101" s="691"/>
      <c r="D101" s="691"/>
      <c r="E101" s="691"/>
      <c r="F101" s="691"/>
      <c r="G101" s="691"/>
      <c r="H101" s="691"/>
      <c r="I101" s="691"/>
      <c r="J101" s="691"/>
      <c r="K101" s="691"/>
      <c r="L101" s="691"/>
      <c r="M101" s="89"/>
    </row>
    <row r="102" spans="2:13" ht="12.75">
      <c r="B102" s="89"/>
      <c r="C102" s="691"/>
      <c r="D102" s="691"/>
      <c r="E102" s="691"/>
      <c r="F102" s="691"/>
      <c r="G102" s="691"/>
      <c r="H102" s="691"/>
      <c r="I102" s="691"/>
      <c r="J102" s="691"/>
      <c r="K102" s="691"/>
      <c r="L102" s="691"/>
      <c r="M102" s="89"/>
    </row>
    <row r="103" spans="2:13" ht="12.75">
      <c r="B103" s="89"/>
      <c r="C103" s="5"/>
      <c r="D103" s="5"/>
      <c r="E103" s="5"/>
      <c r="F103" s="5"/>
      <c r="G103" s="5"/>
      <c r="H103" s="5"/>
      <c r="I103" s="5"/>
      <c r="J103" s="5"/>
      <c r="K103" s="5"/>
      <c r="L103" s="5"/>
      <c r="M103" s="89"/>
    </row>
    <row r="104" spans="2:17" ht="12.75">
      <c r="B104" s="89"/>
      <c r="C104" s="732" t="str">
        <f>HYPERLINK(Q104,Translations!$B$336)</f>
        <v>&lt;&lt;&lt; Click here to proceed to next sheet &gt;&gt;&gt; </v>
      </c>
      <c r="D104" s="733"/>
      <c r="E104" s="733"/>
      <c r="F104" s="733"/>
      <c r="G104" s="733"/>
      <c r="H104" s="733"/>
      <c r="I104" s="733"/>
      <c r="J104" s="733"/>
      <c r="K104" s="733"/>
      <c r="L104" s="733"/>
      <c r="M104" s="733"/>
      <c r="N104" s="614"/>
      <c r="O104" s="513"/>
      <c r="P104" s="513"/>
      <c r="Q104" s="542" t="str">
        <f>$U$2</f>
        <v>#A_InstallationData!$D$6</v>
      </c>
    </row>
    <row r="105" spans="2:12" ht="12.75">
      <c r="B105" s="612"/>
      <c r="C105" s="615"/>
      <c r="D105" s="615"/>
      <c r="E105" s="615"/>
      <c r="F105" s="615"/>
      <c r="G105" s="615"/>
      <c r="H105" s="615"/>
      <c r="I105" s="615"/>
      <c r="J105" s="615"/>
      <c r="K105" s="615"/>
      <c r="L105" s="615"/>
    </row>
  </sheetData>
  <sheetProtection sheet="1" objects="1" scenarios="1" formatCells="0" formatColumns="0" formatRows="0"/>
  <mergeCells count="112">
    <mergeCell ref="D24:L24"/>
    <mergeCell ref="C104:M104"/>
    <mergeCell ref="Q4:R4"/>
    <mergeCell ref="S4:T4"/>
    <mergeCell ref="U4:V4"/>
    <mergeCell ref="W4:X4"/>
    <mergeCell ref="D16:L16"/>
    <mergeCell ref="D17:L17"/>
    <mergeCell ref="C15:L15"/>
    <mergeCell ref="C80:D80"/>
    <mergeCell ref="Q2:R2"/>
    <mergeCell ref="S2:T2"/>
    <mergeCell ref="U2:V2"/>
    <mergeCell ref="W2:X2"/>
    <mergeCell ref="Q3:R3"/>
    <mergeCell ref="S3:T3"/>
    <mergeCell ref="U3:V3"/>
    <mergeCell ref="W3:X3"/>
    <mergeCell ref="E80:L80"/>
    <mergeCell ref="C53:L53"/>
    <mergeCell ref="C78:D78"/>
    <mergeCell ref="E77:L77"/>
    <mergeCell ref="E78:L78"/>
    <mergeCell ref="C55:L55"/>
    <mergeCell ref="C61:L61"/>
    <mergeCell ref="C76:L76"/>
    <mergeCell ref="E65:H72"/>
    <mergeCell ref="C79:L79"/>
    <mergeCell ref="C87:L87"/>
    <mergeCell ref="C82:L82"/>
    <mergeCell ref="C85:L85"/>
    <mergeCell ref="C86:L86"/>
    <mergeCell ref="C83:L83"/>
    <mergeCell ref="C84:L84"/>
    <mergeCell ref="C102:L102"/>
    <mergeCell ref="C91:L91"/>
    <mergeCell ref="C92:L92"/>
    <mergeCell ref="C93:L93"/>
    <mergeCell ref="C94:L94"/>
    <mergeCell ref="C95:L95"/>
    <mergeCell ref="C96:L96"/>
    <mergeCell ref="C97:L97"/>
    <mergeCell ref="C99:L99"/>
    <mergeCell ref="C101:L101"/>
    <mergeCell ref="B2:B4"/>
    <mergeCell ref="I3:J3"/>
    <mergeCell ref="K3:L3"/>
    <mergeCell ref="E4:F4"/>
    <mergeCell ref="G4:H4"/>
    <mergeCell ref="I4:J4"/>
    <mergeCell ref="K4:L4"/>
    <mergeCell ref="G2:H2"/>
    <mergeCell ref="I2:J2"/>
    <mergeCell ref="K2:L2"/>
    <mergeCell ref="C3:D3"/>
    <mergeCell ref="C90:L90"/>
    <mergeCell ref="G3:H3"/>
    <mergeCell ref="E47:L47"/>
    <mergeCell ref="E48:L48"/>
    <mergeCell ref="C63:L63"/>
    <mergeCell ref="C75:L75"/>
    <mergeCell ref="C50:D50"/>
    <mergeCell ref="C51:D51"/>
    <mergeCell ref="C43:L43"/>
    <mergeCell ref="C44:D44"/>
    <mergeCell ref="C45:D45"/>
    <mergeCell ref="C46:D46"/>
    <mergeCell ref="C57:L57"/>
    <mergeCell ref="C58:L58"/>
    <mergeCell ref="C54:L54"/>
    <mergeCell ref="E44:L44"/>
    <mergeCell ref="E45:L45"/>
    <mergeCell ref="C100:L100"/>
    <mergeCell ref="C77:D77"/>
    <mergeCell ref="C98:L98"/>
    <mergeCell ref="C27:L27"/>
    <mergeCell ref="C32:L32"/>
    <mergeCell ref="C56:L56"/>
    <mergeCell ref="C31:L31"/>
    <mergeCell ref="E50:L50"/>
    <mergeCell ref="E51:L51"/>
    <mergeCell ref="C35:L35"/>
    <mergeCell ref="C36:L36"/>
    <mergeCell ref="C33:L33"/>
    <mergeCell ref="C49:D49"/>
    <mergeCell ref="C11:L11"/>
    <mergeCell ref="E40:L41"/>
    <mergeCell ref="E39:L39"/>
    <mergeCell ref="E38:L38"/>
    <mergeCell ref="C47:D47"/>
    <mergeCell ref="E46:L46"/>
    <mergeCell ref="C48:D48"/>
    <mergeCell ref="C29:L29"/>
    <mergeCell ref="C10:L10"/>
    <mergeCell ref="C12:L12"/>
    <mergeCell ref="C13:L13"/>
    <mergeCell ref="C14:L14"/>
    <mergeCell ref="C18:L18"/>
    <mergeCell ref="C19:L19"/>
    <mergeCell ref="C20:L20"/>
    <mergeCell ref="D23:L23"/>
    <mergeCell ref="D21:L21"/>
    <mergeCell ref="D22:L22"/>
    <mergeCell ref="E49:L49"/>
    <mergeCell ref="E2:F2"/>
    <mergeCell ref="E3:F3"/>
    <mergeCell ref="C6:K6"/>
    <mergeCell ref="C7:L7"/>
    <mergeCell ref="C4:D4"/>
    <mergeCell ref="C8:L8"/>
    <mergeCell ref="C34:L34"/>
    <mergeCell ref="C26:L26"/>
  </mergeCells>
  <hyperlinks>
    <hyperlink ref="E77" r:id="rId1" display="http://eur-lex.europa.eu/en/index.htm "/>
    <hyperlink ref="E78" r:id="rId2" display="http://ec.europa.eu/clima/policies/ets/index_en.htm"/>
    <hyperlink ref="C13:L13" r:id="rId3" display="http://ec.europa.eu/clima/documentation/ets/docs/decision_benchmarking_15_dec_en.pdf. "/>
    <hyperlink ref="C11:L11" r:id="rId4" display="http://ec.europa.eu/clima/documentation/ets/docs/decision_benchmarking_15_dec_en.pdf. "/>
    <hyperlink ref="C11" r:id="rId5" display="http://eur-lex.europa.eu/LexUriServ/LexUriServ.do?uri=CONSLEG:2003L0087:20090625:EN:PDF"/>
    <hyperlink ref="C13" r:id="rId6" display="http://eur-lex.europa.eu/LexUriServ/LexUriServ.do?uri=CONSLEG:2011D0278:20111117:EN:PDF "/>
    <hyperlink ref="E80" r:id="rId7" display="http://ec.europa.eu/clima/policies/ets/benchmarking/documentation_en.htm"/>
    <hyperlink ref="E80:L80" r:id="rId8" display="http://ec.europa.eu/clima/policies/ets/benchmarking/documentation_en.htm"/>
    <hyperlink ref="E2:F2" location="JUMP_Coverpage_Top" display="JUMP_Coverpage_Top"/>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sheetPr codeName="Tabelle3">
    <tabColor indexed="11"/>
    <pageSetUpPr fitToPage="1"/>
  </sheetPr>
  <dimension ref="A1:Z287"/>
  <sheetViews>
    <sheetView zoomScalePageLayoutView="0" workbookViewId="0" topLeftCell="A1">
      <pane ySplit="4" topLeftCell="A5" activePane="bottomLeft" state="frozen"/>
      <selection pane="topLeft" activeCell="A1" sqref="A1"/>
      <selection pane="bottomLeft" activeCell="I2" sqref="I2:J2"/>
    </sheetView>
  </sheetViews>
  <sheetFormatPr defaultColWidth="9.140625" defaultRowHeight="12.75"/>
  <cols>
    <col min="1" max="1" width="5.140625" style="4" hidden="1" customWidth="1"/>
    <col min="2" max="2" width="2.7109375" style="614" customWidth="1"/>
    <col min="3" max="4" width="4.7109375" style="614" customWidth="1"/>
    <col min="5" max="14" width="12.7109375" style="614" customWidth="1"/>
    <col min="15" max="15" width="4.7109375" style="614" customWidth="1"/>
    <col min="16" max="16" width="59.7109375" style="614" hidden="1" customWidth="1"/>
    <col min="17" max="17" width="12.7109375" style="386" hidden="1" customWidth="1"/>
    <col min="18" max="26" width="11.421875" style="386" hidden="1" customWidth="1"/>
    <col min="27" max="16384" width="9.140625" style="614" customWidth="1"/>
  </cols>
  <sheetData>
    <row r="1" spans="1:26" s="4" customFormat="1" ht="13.5" hidden="1" thickBot="1">
      <c r="A1" s="4" t="str">
        <f>Translations!$B$1507</f>
        <v>ausblenden</v>
      </c>
      <c r="P1" s="370" t="str">
        <f>Translations!$B$1507</f>
        <v>ausblenden</v>
      </c>
      <c r="Q1" s="386" t="str">
        <f>Translations!$B$1507</f>
        <v>ausblenden</v>
      </c>
      <c r="R1" s="386" t="str">
        <f>Translations!$B$1507</f>
        <v>ausblenden</v>
      </c>
      <c r="S1" s="386" t="str">
        <f>Translations!$B$1507</f>
        <v>ausblenden</v>
      </c>
      <c r="T1" s="386" t="str">
        <f>Translations!$B$1507</f>
        <v>ausblenden</v>
      </c>
      <c r="U1" s="386" t="str">
        <f>Translations!$B$1507</f>
        <v>ausblenden</v>
      </c>
      <c r="V1" s="386" t="str">
        <f>Translations!$B$1507</f>
        <v>ausblenden</v>
      </c>
      <c r="W1" s="386" t="str">
        <f>Translations!$B$1507</f>
        <v>ausblenden</v>
      </c>
      <c r="X1" s="386" t="str">
        <f>Translations!$B$1507</f>
        <v>ausblenden</v>
      </c>
      <c r="Y1" s="386" t="str">
        <f>Translations!$B$1507</f>
        <v>ausblenden</v>
      </c>
      <c r="Z1" s="386" t="str">
        <f>Translations!$B$1507</f>
        <v>ausblenden</v>
      </c>
    </row>
    <row r="2" spans="2:26" ht="13.5" customHeight="1" thickBot="1">
      <c r="B2" s="860" t="str">
        <f>Translations!$B$337</f>
        <v>A.
Installation Data</v>
      </c>
      <c r="C2" s="861"/>
      <c r="D2" s="862"/>
      <c r="E2" s="205" t="str">
        <f>Translations!$B$276</f>
        <v>Navigation area:</v>
      </c>
      <c r="F2" s="203"/>
      <c r="G2" s="668" t="str">
        <f>Translations!$B$290</f>
        <v>Table of contents</v>
      </c>
      <c r="H2" s="655"/>
      <c r="I2" s="655" t="str">
        <f>HYPERLINK(U2,Translations!$B$291)</f>
        <v>Previous sheet</v>
      </c>
      <c r="J2" s="655"/>
      <c r="K2" s="655" t="str">
        <f>HYPERLINK(W2,Translations!$B$277)</f>
        <v>Next sheet</v>
      </c>
      <c r="L2" s="655"/>
      <c r="M2" s="655" t="str">
        <f>HYPERLINK(Y2,Translations!$B$278)</f>
        <v>Summary</v>
      </c>
      <c r="N2" s="662"/>
      <c r="O2" s="9"/>
      <c r="P2" s="9"/>
      <c r="Q2" s="531" t="s">
        <v>1998</v>
      </c>
      <c r="R2" s="531"/>
      <c r="S2" s="657"/>
      <c r="T2" s="658"/>
      <c r="U2" s="659" t="str">
        <f>"#"&amp;ADDRESS(ROW(C6),COLUMN(C6),,,'b_Guidelines &amp; conditions'!O3)</f>
        <v>#'b_Guidelines &amp; conditions'!$C$6</v>
      </c>
      <c r="V2" s="658"/>
      <c r="W2" s="659" t="str">
        <f>"#"&amp;ADDRESS(ROW(C6),COLUMN(C6),,,B_InitialSituation!Q3)</f>
        <v>#B_InitialSituation!$C$6</v>
      </c>
      <c r="X2" s="658"/>
      <c r="Y2" s="659" t="str">
        <f>"#"&amp;ADDRESS(ROW(C6),COLUMN(C6),,,D_Summary!Q3)</f>
        <v>#D_Summary!$C$6</v>
      </c>
      <c r="Z2" s="660"/>
    </row>
    <row r="3" spans="2:26" ht="13.5" thickBot="1">
      <c r="B3" s="863"/>
      <c r="C3" s="864"/>
      <c r="D3" s="865"/>
      <c r="E3" s="655" t="str">
        <f>HYPERLINK(R3,Translations!$B$279)</f>
        <v>Top of sheet</v>
      </c>
      <c r="F3" s="703"/>
      <c r="G3" s="669" t="str">
        <f>HYPERLINK(S3,Translations!$B$342)</f>
        <v>Eligibility</v>
      </c>
      <c r="H3" s="670"/>
      <c r="I3" s="705" t="str">
        <f>HYPERLINK(U3,Translations!$B$338)</f>
        <v>Installation ID</v>
      </c>
      <c r="J3" s="670"/>
      <c r="K3" s="705" t="str">
        <f>HYPERLINK(W3,Translations!$B$343)</f>
        <v>Technical connections</v>
      </c>
      <c r="L3" s="670"/>
      <c r="M3" s="705" t="str">
        <f>HYPERLINK(Y3,Translations!$B$1504)</f>
        <v>Installations involved</v>
      </c>
      <c r="N3" s="670"/>
      <c r="O3" s="9"/>
      <c r="P3" s="9"/>
      <c r="Q3" s="590" t="str">
        <f ca="1">IF(ISERROR(CELL("filename",Q1)),"A_InstallationData",MID(CELL("filename",Q1),FIND("]",CELL("filename",Q1))+1,1024))</f>
        <v>A_InstallationData</v>
      </c>
      <c r="R3" s="591" t="str">
        <f>"#"&amp;ADDRESS(ROW(C6),COLUMN(C6))</f>
        <v>#$C$6</v>
      </c>
      <c r="S3" s="728" t="str">
        <f>"#"&amp;ADDRESS(ROW(C8),COLUMN(C8))</f>
        <v>#$C$8</v>
      </c>
      <c r="T3" s="729"/>
      <c r="U3" s="730" t="str">
        <f>"#"&amp;ADDRESS(ROW(C30),COLUMN(C30))</f>
        <v>#$C$30</v>
      </c>
      <c r="V3" s="729"/>
      <c r="W3" s="730" t="str">
        <f>"#"&amp;ADDRESS(ROW(JUMP_A_VI),COLUMN(JUMP_A_VI))</f>
        <v>#$C$135</v>
      </c>
      <c r="X3" s="729"/>
      <c r="Y3" s="730" t="str">
        <f>"#"&amp;ADDRESS(ROW(C187),COLUMN(C187))</f>
        <v>#$C$187</v>
      </c>
      <c r="Z3" s="731"/>
    </row>
    <row r="4" spans="2:26" ht="13.5" customHeight="1" thickBot="1">
      <c r="B4" s="866"/>
      <c r="C4" s="867"/>
      <c r="D4" s="868"/>
      <c r="E4" s="655" t="str">
        <f>HYPERLINK(R4,Translations!$B$280)</f>
        <v>End of sheet</v>
      </c>
      <c r="F4" s="655"/>
      <c r="G4" s="711"/>
      <c r="H4" s="712"/>
      <c r="I4" s="713"/>
      <c r="J4" s="712"/>
      <c r="K4" s="713"/>
      <c r="L4" s="712"/>
      <c r="M4" s="713"/>
      <c r="N4" s="712"/>
      <c r="O4" s="9"/>
      <c r="P4" s="9"/>
      <c r="Q4" s="531"/>
      <c r="R4" s="592" t="str">
        <f>"#"&amp;ADDRESS(ROW(JUMP_A_Bottom),COLUMN(JUMP_A_Bottom))</f>
        <v>#$D$255</v>
      </c>
      <c r="S4" s="734"/>
      <c r="T4" s="735"/>
      <c r="U4" s="736"/>
      <c r="V4" s="735"/>
      <c r="W4" s="736"/>
      <c r="X4" s="735"/>
      <c r="Y4" s="736"/>
      <c r="Z4" s="737"/>
    </row>
    <row r="5" spans="2:17" ht="12.75">
      <c r="B5" s="5"/>
      <c r="C5" s="6"/>
      <c r="D5" s="7"/>
      <c r="E5" s="7"/>
      <c r="F5" s="8"/>
      <c r="G5" s="8"/>
      <c r="H5" s="8"/>
      <c r="I5" s="5"/>
      <c r="J5" s="5"/>
      <c r="K5" s="5"/>
      <c r="L5" s="5"/>
      <c r="M5" s="9"/>
      <c r="N5" s="9"/>
      <c r="O5" s="9"/>
      <c r="P5" s="9"/>
      <c r="Q5" s="394"/>
    </row>
    <row r="6" spans="2:26" ht="23.25" customHeight="1">
      <c r="B6" s="5"/>
      <c r="C6" s="11" t="s">
        <v>1252</v>
      </c>
      <c r="D6" s="671" t="str">
        <f>Translations!$B$1031</f>
        <v>Sheet "InstallationData" - GENERAL INFORMATION ON THIS APPLICATION</v>
      </c>
      <c r="E6" s="695"/>
      <c r="F6" s="695"/>
      <c r="G6" s="695"/>
      <c r="H6" s="695"/>
      <c r="I6" s="695"/>
      <c r="J6" s="695"/>
      <c r="K6" s="695"/>
      <c r="L6" s="695"/>
      <c r="M6" s="695"/>
      <c r="N6" s="695"/>
      <c r="O6" s="9"/>
      <c r="P6" s="9"/>
      <c r="Q6" s="395" t="s">
        <v>1200</v>
      </c>
      <c r="R6" s="395" t="s">
        <v>1200</v>
      </c>
      <c r="S6" s="395" t="s">
        <v>1200</v>
      </c>
      <c r="T6" s="395" t="s">
        <v>1200</v>
      </c>
      <c r="U6" s="395" t="s">
        <v>1200</v>
      </c>
      <c r="V6" s="395" t="s">
        <v>1200</v>
      </c>
      <c r="W6" s="395" t="s">
        <v>1200</v>
      </c>
      <c r="X6" s="395" t="s">
        <v>1200</v>
      </c>
      <c r="Y6" s="395" t="s">
        <v>1200</v>
      </c>
      <c r="Z6" s="395" t="s">
        <v>1200</v>
      </c>
    </row>
    <row r="7" spans="2:26" ht="12.75">
      <c r="B7" s="5"/>
      <c r="C7" s="5"/>
      <c r="D7" s="5"/>
      <c r="E7" s="5"/>
      <c r="F7" s="5"/>
      <c r="G7" s="5"/>
      <c r="H7" s="5"/>
      <c r="I7" s="5"/>
      <c r="J7" s="5"/>
      <c r="K7" s="5"/>
      <c r="L7" s="5"/>
      <c r="M7" s="9"/>
      <c r="N7" s="9"/>
      <c r="O7" s="9"/>
      <c r="P7" s="9"/>
      <c r="Q7" s="396" t="s">
        <v>496</v>
      </c>
      <c r="R7" s="396" t="s">
        <v>496</v>
      </c>
      <c r="S7" s="396" t="s">
        <v>496</v>
      </c>
      <c r="T7" s="396" t="s">
        <v>496</v>
      </c>
      <c r="U7" s="396" t="s">
        <v>496</v>
      </c>
      <c r="V7" s="396" t="s">
        <v>496</v>
      </c>
      <c r="W7" s="396" t="s">
        <v>496</v>
      </c>
      <c r="X7" s="396" t="s">
        <v>496</v>
      </c>
      <c r="Y7" s="396" t="s">
        <v>496</v>
      </c>
      <c r="Z7" s="396" t="s">
        <v>496</v>
      </c>
    </row>
    <row r="8" spans="1:26" s="616" customFormat="1" ht="18" customHeight="1">
      <c r="A8" s="428"/>
      <c r="B8" s="215"/>
      <c r="C8" s="367" t="s">
        <v>81</v>
      </c>
      <c r="D8" s="384" t="str">
        <f>Translations!$B$1505</f>
        <v>Confirmation of eligibility</v>
      </c>
      <c r="E8" s="384"/>
      <c r="F8" s="384"/>
      <c r="G8" s="384"/>
      <c r="H8" s="384"/>
      <c r="I8" s="384"/>
      <c r="J8" s="384"/>
      <c r="K8" s="384"/>
      <c r="L8" s="384"/>
      <c r="M8" s="384"/>
      <c r="N8" s="384"/>
      <c r="O8" s="216"/>
      <c r="P8" s="216"/>
      <c r="Q8" s="419"/>
      <c r="R8" s="419"/>
      <c r="S8" s="419"/>
      <c r="T8" s="419"/>
      <c r="U8" s="419"/>
      <c r="V8" s="419"/>
      <c r="W8" s="419"/>
      <c r="X8" s="419"/>
      <c r="Y8" s="419"/>
      <c r="Z8" s="419"/>
    </row>
    <row r="9" spans="2:17" ht="4.5" customHeight="1" thickBot="1">
      <c r="B9" s="5"/>
      <c r="C9" s="5"/>
      <c r="D9" s="5"/>
      <c r="E9" s="5"/>
      <c r="F9" s="5"/>
      <c r="G9" s="5"/>
      <c r="H9" s="5"/>
      <c r="I9" s="5"/>
      <c r="J9" s="5"/>
      <c r="K9" s="5"/>
      <c r="L9" s="5"/>
      <c r="M9" s="9"/>
      <c r="N9" s="9"/>
      <c r="O9" s="9"/>
      <c r="P9" s="9"/>
      <c r="Q9" s="394"/>
    </row>
    <row r="10" spans="2:26" ht="12.75" customHeight="1">
      <c r="B10" s="18"/>
      <c r="C10" s="83"/>
      <c r="D10" s="82"/>
      <c r="E10" s="82"/>
      <c r="F10" s="82"/>
      <c r="G10" s="82"/>
      <c r="H10" s="82"/>
      <c r="I10" s="82"/>
      <c r="J10" s="82"/>
      <c r="K10" s="82"/>
      <c r="L10" s="82"/>
      <c r="M10" s="81"/>
      <c r="N10" s="81"/>
      <c r="O10" s="80"/>
      <c r="P10" s="20"/>
      <c r="Q10" s="531"/>
      <c r="R10" s="513"/>
      <c r="S10" s="513"/>
      <c r="T10" s="513"/>
      <c r="U10" s="513"/>
      <c r="V10" s="513"/>
      <c r="W10" s="513"/>
      <c r="X10" s="513"/>
      <c r="Y10" s="513"/>
      <c r="Z10" s="513"/>
    </row>
    <row r="11" spans="2:26" ht="12.75" customHeight="1">
      <c r="B11" s="18"/>
      <c r="C11" s="79"/>
      <c r="D11" s="197" t="s">
        <v>1680</v>
      </c>
      <c r="E11" s="640" t="str">
        <f>Translations!$B$1522</f>
        <v>Application for merger, split or transfer of parts of installations?</v>
      </c>
      <c r="F11" s="742"/>
      <c r="G11" s="742"/>
      <c r="H11" s="742"/>
      <c r="I11" s="742"/>
      <c r="J11" s="742"/>
      <c r="K11" s="742"/>
      <c r="L11" s="742"/>
      <c r="M11" s="742"/>
      <c r="N11" s="742"/>
      <c r="O11" s="78"/>
      <c r="P11" s="223"/>
      <c r="S11" s="513"/>
      <c r="T11" s="513"/>
      <c r="U11" s="513"/>
      <c r="V11" s="513"/>
      <c r="W11" s="513"/>
      <c r="X11" s="513"/>
      <c r="Y11" s="513"/>
      <c r="Z11" s="513"/>
    </row>
    <row r="12" spans="2:26" ht="24.75" customHeight="1">
      <c r="B12" s="18"/>
      <c r="C12" s="79"/>
      <c r="D12" s="206"/>
      <c r="E12" s="741" t="str">
        <f>Translations!$B$1523</f>
        <v>Please confirm that the change in application described in this application is due to a merger, split or transfer of parts of installations only. By this it is also confirmed that there have not been any physical changes and this application is exclusively describing changes of installation boundaries and existing permits.</v>
      </c>
      <c r="F12" s="742"/>
      <c r="G12" s="742"/>
      <c r="H12" s="742"/>
      <c r="I12" s="742"/>
      <c r="J12" s="742"/>
      <c r="K12" s="742"/>
      <c r="L12" s="742"/>
      <c r="M12" s="742"/>
      <c r="N12" s="742"/>
      <c r="O12" s="78"/>
      <c r="P12" s="20"/>
      <c r="Q12" s="513"/>
      <c r="R12" s="513"/>
      <c r="S12" s="513"/>
      <c r="T12" s="513"/>
      <c r="U12" s="513"/>
      <c r="V12" s="513"/>
      <c r="W12" s="513"/>
      <c r="X12" s="513"/>
      <c r="Y12" s="513"/>
      <c r="Z12" s="513"/>
    </row>
    <row r="13" spans="2:26" ht="25.5" customHeight="1">
      <c r="B13" s="18"/>
      <c r="C13" s="79"/>
      <c r="D13" s="206"/>
      <c r="E13" s="738"/>
      <c r="F13" s="739"/>
      <c r="G13" s="739"/>
      <c r="H13" s="739"/>
      <c r="I13" s="739"/>
      <c r="J13" s="739"/>
      <c r="K13" s="739"/>
      <c r="L13" s="739"/>
      <c r="M13" s="739"/>
      <c r="N13" s="740"/>
      <c r="O13" s="500"/>
      <c r="P13" s="20"/>
      <c r="Q13" s="604" t="b">
        <f>E13&lt;&gt;""</f>
        <v>0</v>
      </c>
      <c r="R13" s="533" t="s">
        <v>1956</v>
      </c>
      <c r="S13" s="513"/>
      <c r="T13" s="513"/>
      <c r="U13" s="513"/>
      <c r="V13" s="513"/>
      <c r="W13" s="513"/>
      <c r="X13" s="513"/>
      <c r="Y13" s="513"/>
      <c r="Z13" s="513"/>
    </row>
    <row r="14" spans="2:26" ht="12.75" customHeight="1" thickBot="1">
      <c r="B14" s="18"/>
      <c r="C14" s="79"/>
      <c r="D14" s="197"/>
      <c r="E14" s="627"/>
      <c r="F14" s="497"/>
      <c r="G14" s="497"/>
      <c r="H14" s="497"/>
      <c r="I14" s="497"/>
      <c r="J14" s="497"/>
      <c r="K14" s="497"/>
      <c r="L14" s="497"/>
      <c r="M14" s="497"/>
      <c r="N14" s="497"/>
      <c r="O14" s="498"/>
      <c r="P14" s="20"/>
      <c r="Q14" s="513"/>
      <c r="R14" s="513"/>
      <c r="S14" s="513"/>
      <c r="T14" s="513"/>
      <c r="U14" s="513"/>
      <c r="V14" s="513"/>
      <c r="W14" s="513"/>
      <c r="X14" s="513"/>
      <c r="Y14" s="513"/>
      <c r="Z14" s="513"/>
    </row>
    <row r="15" spans="2:26" ht="12.75" customHeight="1" thickBot="1">
      <c r="B15" s="18"/>
      <c r="C15" s="79"/>
      <c r="D15" s="197" t="s">
        <v>761</v>
      </c>
      <c r="E15" s="858" t="str">
        <f>Translations!$B$1524</f>
        <v>Official date the merger, split or transfer of parts of installations occurred</v>
      </c>
      <c r="F15" s="858"/>
      <c r="G15" s="858"/>
      <c r="H15" s="858"/>
      <c r="I15" s="858"/>
      <c r="J15" s="858"/>
      <c r="K15" s="859"/>
      <c r="L15" s="502"/>
      <c r="M15" s="497"/>
      <c r="N15" s="497"/>
      <c r="O15" s="498"/>
      <c r="P15" s="20"/>
      <c r="Q15" s="534">
        <f>YEAR(L15)</f>
        <v>1900</v>
      </c>
      <c r="R15" s="530" t="s">
        <v>1975</v>
      </c>
      <c r="S15" s="513"/>
      <c r="T15" s="513"/>
      <c r="U15" s="513"/>
      <c r="V15" s="513"/>
      <c r="W15" s="513"/>
      <c r="X15" s="513"/>
      <c r="Y15" s="513"/>
      <c r="Z15" s="535" t="b">
        <f>CNTR_Merger&lt;&gt;TRUE</f>
        <v>1</v>
      </c>
    </row>
    <row r="16" spans="2:26" ht="12.75" customHeight="1">
      <c r="B16" s="18"/>
      <c r="C16" s="79"/>
      <c r="D16" s="496"/>
      <c r="E16" s="628"/>
      <c r="F16" s="497"/>
      <c r="G16" s="497"/>
      <c r="H16" s="497"/>
      <c r="I16" s="497"/>
      <c r="J16" s="497"/>
      <c r="K16" s="497"/>
      <c r="L16" s="497"/>
      <c r="M16" s="497"/>
      <c r="N16" s="497"/>
      <c r="O16" s="498"/>
      <c r="P16" s="20"/>
      <c r="Q16" s="513"/>
      <c r="R16" s="513"/>
      <c r="S16" s="513"/>
      <c r="T16" s="513"/>
      <c r="U16" s="513"/>
      <c r="V16" s="513"/>
      <c r="W16" s="513"/>
      <c r="X16" s="513"/>
      <c r="Y16" s="513"/>
      <c r="Z16" s="513"/>
    </row>
    <row r="17" spans="2:26" ht="12.75" customHeight="1">
      <c r="B17" s="5"/>
      <c r="C17" s="77"/>
      <c r="D17" s="197" t="s">
        <v>1649</v>
      </c>
      <c r="E17" s="640" t="str">
        <f>Translations!$B$1525</f>
        <v>Description of the merger and/or split</v>
      </c>
      <c r="F17" s="742"/>
      <c r="G17" s="742"/>
      <c r="H17" s="742"/>
      <c r="I17" s="742"/>
      <c r="J17" s="742"/>
      <c r="K17" s="742"/>
      <c r="L17" s="742"/>
      <c r="M17" s="742"/>
      <c r="N17" s="742"/>
      <c r="O17" s="499"/>
      <c r="P17" s="9"/>
      <c r="Q17" s="531"/>
      <c r="R17" s="513"/>
      <c r="S17" s="513"/>
      <c r="T17" s="513"/>
      <c r="U17" s="513"/>
      <c r="V17" s="513"/>
      <c r="W17" s="513"/>
      <c r="X17" s="513"/>
      <c r="Y17" s="513"/>
      <c r="Z17" s="513"/>
    </row>
    <row r="18" spans="2:26" ht="12.75" customHeight="1">
      <c r="B18" s="5"/>
      <c r="C18" s="77"/>
      <c r="D18" s="206"/>
      <c r="E18" s="741" t="str">
        <f>Translations!$B$1526</f>
        <v>Please enter here a brief description of the legal background leading to the interpretation that merging installations are to be considered as one installation from now on.</v>
      </c>
      <c r="F18" s="742"/>
      <c r="G18" s="742"/>
      <c r="H18" s="742"/>
      <c r="I18" s="742"/>
      <c r="J18" s="742"/>
      <c r="K18" s="742"/>
      <c r="L18" s="742"/>
      <c r="M18" s="742"/>
      <c r="N18" s="742"/>
      <c r="O18" s="499"/>
      <c r="P18" s="9"/>
      <c r="Q18" s="531"/>
      <c r="R18" s="513"/>
      <c r="S18" s="513"/>
      <c r="T18" s="513"/>
      <c r="U18" s="513"/>
      <c r="V18" s="513"/>
      <c r="W18" s="513"/>
      <c r="X18" s="513"/>
      <c r="Y18" s="513"/>
      <c r="Z18" s="513"/>
    </row>
    <row r="19" spans="2:26" ht="12.75" customHeight="1">
      <c r="B19" s="5"/>
      <c r="C19" s="77"/>
      <c r="D19" s="206"/>
      <c r="E19" s="741" t="str">
        <f>Translations!$B$1527</f>
        <v>This description has to make clear how the installations involved are technically connected, i.e. measurable heat, waste gases or CO2 is transferred to one another.</v>
      </c>
      <c r="F19" s="742"/>
      <c r="G19" s="742"/>
      <c r="H19" s="742"/>
      <c r="I19" s="742"/>
      <c r="J19" s="742"/>
      <c r="K19" s="742"/>
      <c r="L19" s="742"/>
      <c r="M19" s="742"/>
      <c r="N19" s="742"/>
      <c r="O19" s="499"/>
      <c r="P19" s="501"/>
      <c r="Q19" s="531"/>
      <c r="R19" s="513"/>
      <c r="S19" s="513"/>
      <c r="T19" s="513"/>
      <c r="U19" s="513"/>
      <c r="V19" s="513"/>
      <c r="W19" s="513"/>
      <c r="X19" s="513"/>
      <c r="Y19" s="513"/>
      <c r="Z19" s="513"/>
    </row>
    <row r="20" spans="2:26" ht="54.75" customHeight="1">
      <c r="B20" s="5"/>
      <c r="C20" s="77"/>
      <c r="D20" s="7"/>
      <c r="E20" s="738"/>
      <c r="F20" s="739"/>
      <c r="G20" s="739"/>
      <c r="H20" s="739"/>
      <c r="I20" s="739"/>
      <c r="J20" s="739"/>
      <c r="K20" s="739"/>
      <c r="L20" s="739"/>
      <c r="M20" s="739"/>
      <c r="N20" s="740"/>
      <c r="O20" s="499"/>
      <c r="P20" s="9"/>
      <c r="Q20" s="531"/>
      <c r="R20" s="513"/>
      <c r="S20" s="513"/>
      <c r="T20" s="513"/>
      <c r="U20" s="513"/>
      <c r="V20" s="513"/>
      <c r="W20" s="513"/>
      <c r="X20" s="513"/>
      <c r="Y20" s="513"/>
      <c r="Z20" s="535" t="b">
        <f>CNTR_Merger&lt;&gt;TRUE</f>
        <v>1</v>
      </c>
    </row>
    <row r="21" spans="2:17" ht="4.5" customHeight="1">
      <c r="B21" s="5"/>
      <c r="C21" s="77"/>
      <c r="D21" s="7"/>
      <c r="E21" s="7"/>
      <c r="F21" s="7"/>
      <c r="G21" s="7"/>
      <c r="H21" s="7"/>
      <c r="I21" s="7"/>
      <c r="J21" s="7"/>
      <c r="K21" s="7"/>
      <c r="L21" s="7"/>
      <c r="M21" s="25"/>
      <c r="N21" s="25"/>
      <c r="O21" s="76"/>
      <c r="P21" s="25"/>
      <c r="Q21" s="394"/>
    </row>
    <row r="22" spans="2:16" ht="12.75">
      <c r="B22" s="20"/>
      <c r="C22" s="79"/>
      <c r="D22" s="197" t="s">
        <v>413</v>
      </c>
      <c r="E22" s="640" t="str">
        <f>Translations!$B$421</f>
        <v>Consent to use the data contained in this file:</v>
      </c>
      <c r="F22" s="695"/>
      <c r="G22" s="695"/>
      <c r="H22" s="695"/>
      <c r="I22" s="695"/>
      <c r="J22" s="695"/>
      <c r="K22" s="695"/>
      <c r="L22" s="695"/>
      <c r="M22" s="695"/>
      <c r="N22" s="695"/>
      <c r="O22" s="78"/>
      <c r="P22" s="20"/>
    </row>
    <row r="23" spans="2:16" ht="39.75" customHeight="1">
      <c r="B23" s="20"/>
      <c r="C23" s="79"/>
      <c r="D23" s="20"/>
      <c r="E23" s="743" t="str">
        <f>Translations!$B$1053</f>
        <v>The data contained in this file will be used by the competent authority for determining the free allocation pursuant to Article 10a of the EU ETS Directive, or any change to the amount of earlier allocation decisions. Furthermore these data will be notified to the European Commission in part or as a whole, in line with Article 24(2) of the CIMs.</v>
      </c>
      <c r="F23" s="743"/>
      <c r="G23" s="743"/>
      <c r="H23" s="743"/>
      <c r="I23" s="743"/>
      <c r="J23" s="743"/>
      <c r="K23" s="743"/>
      <c r="L23" s="743"/>
      <c r="M23" s="743"/>
      <c r="N23" s="743"/>
      <c r="O23" s="78"/>
      <c r="P23" s="20"/>
    </row>
    <row r="24" spans="2:16" ht="12.75">
      <c r="B24" s="20"/>
      <c r="C24" s="79"/>
      <c r="D24" s="20"/>
      <c r="E24" s="744"/>
      <c r="F24" s="745"/>
      <c r="G24" s="745"/>
      <c r="H24" s="745"/>
      <c r="I24" s="745"/>
      <c r="J24" s="745"/>
      <c r="K24" s="745"/>
      <c r="L24" s="745"/>
      <c r="M24" s="745"/>
      <c r="N24" s="746"/>
      <c r="O24" s="78"/>
      <c r="P24" s="20"/>
    </row>
    <row r="25" spans="2:16" ht="4.5" customHeight="1">
      <c r="B25" s="20"/>
      <c r="C25" s="79"/>
      <c r="D25" s="20"/>
      <c r="E25" s="20"/>
      <c r="F25" s="20"/>
      <c r="G25" s="20"/>
      <c r="H25" s="20"/>
      <c r="I25" s="20"/>
      <c r="J25" s="20"/>
      <c r="K25" s="20"/>
      <c r="L25" s="20"/>
      <c r="M25" s="20"/>
      <c r="N25" s="20"/>
      <c r="O25" s="78"/>
      <c r="P25" s="20"/>
    </row>
    <row r="26" spans="2:16" ht="12.75">
      <c r="B26" s="20"/>
      <c r="C26" s="79"/>
      <c r="D26" s="20"/>
      <c r="E26" s="747">
        <f>IF(CNTR_HasEntries_A_I,IF(E24="",EUconst_ERR_Mandatory_g,""),"")</f>
      </c>
      <c r="F26" s="747"/>
      <c r="G26" s="747"/>
      <c r="H26" s="747"/>
      <c r="I26" s="747"/>
      <c r="J26" s="747"/>
      <c r="K26" s="747"/>
      <c r="L26" s="747"/>
      <c r="M26" s="747"/>
      <c r="N26" s="747"/>
      <c r="O26" s="78"/>
      <c r="P26" s="20"/>
    </row>
    <row r="27" spans="2:17" ht="4.5" customHeight="1" thickBot="1">
      <c r="B27" s="5"/>
      <c r="C27" s="75"/>
      <c r="D27" s="74"/>
      <c r="E27" s="74"/>
      <c r="F27" s="74"/>
      <c r="G27" s="74"/>
      <c r="H27" s="74"/>
      <c r="I27" s="74"/>
      <c r="J27" s="74"/>
      <c r="K27" s="74"/>
      <c r="L27" s="74"/>
      <c r="M27" s="73"/>
      <c r="N27" s="73"/>
      <c r="O27" s="72"/>
      <c r="P27" s="20"/>
      <c r="Q27" s="394"/>
    </row>
    <row r="28" spans="2:16" ht="12.75">
      <c r="B28" s="20"/>
      <c r="C28" s="20"/>
      <c r="D28" s="20"/>
      <c r="E28" s="20"/>
      <c r="F28" s="20"/>
      <c r="G28" s="20"/>
      <c r="H28" s="20"/>
      <c r="I28" s="20"/>
      <c r="J28" s="20"/>
      <c r="K28" s="20"/>
      <c r="L28" s="20"/>
      <c r="M28" s="20"/>
      <c r="N28" s="20"/>
      <c r="O28" s="20"/>
      <c r="P28" s="20"/>
    </row>
    <row r="29" spans="2:26" ht="25.5" customHeight="1">
      <c r="B29" s="5"/>
      <c r="C29" s="5"/>
      <c r="D29" s="5"/>
      <c r="E29" s="5"/>
      <c r="F29" s="5"/>
      <c r="G29" s="5"/>
      <c r="H29" s="5"/>
      <c r="I29" s="5"/>
      <c r="J29" s="5"/>
      <c r="K29" s="5"/>
      <c r="L29" s="5"/>
      <c r="M29" s="9"/>
      <c r="N29" s="9"/>
      <c r="O29" s="9"/>
      <c r="P29" s="20"/>
      <c r="Q29" s="422"/>
      <c r="R29" s="422"/>
      <c r="S29" s="422"/>
      <c r="T29" s="422"/>
      <c r="U29" s="422"/>
      <c r="V29" s="422"/>
      <c r="W29" s="422"/>
      <c r="X29" s="422"/>
      <c r="Y29" s="422"/>
      <c r="Z29" s="422"/>
    </row>
    <row r="30" spans="1:26" s="616" customFormat="1" ht="18" customHeight="1">
      <c r="A30" s="428"/>
      <c r="B30" s="215"/>
      <c r="C30" s="367" t="s">
        <v>203</v>
      </c>
      <c r="D30" s="384" t="str">
        <f>Translations!$B$344</f>
        <v>Identification of the Installation</v>
      </c>
      <c r="E30" s="384"/>
      <c r="F30" s="384"/>
      <c r="G30" s="384"/>
      <c r="H30" s="384"/>
      <c r="I30" s="384"/>
      <c r="J30" s="384"/>
      <c r="K30" s="384"/>
      <c r="L30" s="384"/>
      <c r="M30" s="384"/>
      <c r="N30" s="384"/>
      <c r="O30" s="216"/>
      <c r="P30" s="20"/>
      <c r="Q30" s="419"/>
      <c r="R30" s="419"/>
      <c r="S30" s="419"/>
      <c r="T30" s="419"/>
      <c r="U30" s="419"/>
      <c r="V30" s="419"/>
      <c r="W30" s="419"/>
      <c r="X30" s="419"/>
      <c r="Y30" s="419"/>
      <c r="Z30" s="419"/>
    </row>
    <row r="31" spans="2:17" ht="12.75" customHeight="1">
      <c r="B31" s="5"/>
      <c r="C31" s="5"/>
      <c r="D31" s="5"/>
      <c r="E31" s="5"/>
      <c r="F31" s="5"/>
      <c r="G31" s="5"/>
      <c r="H31" s="5"/>
      <c r="I31" s="5"/>
      <c r="J31" s="5"/>
      <c r="K31" s="5"/>
      <c r="L31" s="5"/>
      <c r="M31" s="9"/>
      <c r="N31" s="9"/>
      <c r="O31" s="9"/>
      <c r="P31" s="9"/>
      <c r="Q31" s="394"/>
    </row>
    <row r="32" spans="2:17" ht="25.5" customHeight="1">
      <c r="B32" s="5"/>
      <c r="C32" s="5"/>
      <c r="D32" s="758" t="str">
        <f>Translations!$B$1528</f>
        <v>Please note that all entries here shall reflect information for the installation submitting this application as relevant AFTER the merger, split or transfer of parts of installations.</v>
      </c>
      <c r="E32" s="758"/>
      <c r="F32" s="758"/>
      <c r="G32" s="758"/>
      <c r="H32" s="758"/>
      <c r="I32" s="758"/>
      <c r="J32" s="758"/>
      <c r="K32" s="758"/>
      <c r="L32" s="758"/>
      <c r="M32" s="758"/>
      <c r="N32" s="758"/>
      <c r="O32" s="9"/>
      <c r="P32" s="9"/>
      <c r="Q32" s="394"/>
    </row>
    <row r="33" spans="2:17" ht="4.5" customHeight="1">
      <c r="B33" s="5"/>
      <c r="C33" s="5"/>
      <c r="D33" s="5"/>
      <c r="E33" s="5"/>
      <c r="F33" s="5"/>
      <c r="G33" s="5"/>
      <c r="H33" s="5"/>
      <c r="I33" s="5"/>
      <c r="J33" s="5"/>
      <c r="K33" s="5"/>
      <c r="L33" s="5"/>
      <c r="M33" s="9"/>
      <c r="N33" s="9"/>
      <c r="O33" s="9"/>
      <c r="P33" s="9"/>
      <c r="Q33" s="394"/>
    </row>
    <row r="34" spans="2:16" ht="15">
      <c r="B34" s="20"/>
      <c r="C34" s="18">
        <v>1</v>
      </c>
      <c r="D34" s="760" t="str">
        <f>Translations!$B$345</f>
        <v>General information:</v>
      </c>
      <c r="E34" s="695"/>
      <c r="F34" s="695"/>
      <c r="G34" s="695"/>
      <c r="H34" s="695"/>
      <c r="I34" s="695"/>
      <c r="J34" s="695"/>
      <c r="K34" s="695"/>
      <c r="L34" s="695"/>
      <c r="M34" s="695"/>
      <c r="N34" s="695"/>
      <c r="O34" s="20"/>
      <c r="P34" s="20"/>
    </row>
    <row r="35" spans="2:17" ht="4.5" customHeight="1">
      <c r="B35" s="5"/>
      <c r="C35" s="5"/>
      <c r="D35" s="5"/>
      <c r="E35" s="5"/>
      <c r="F35" s="5"/>
      <c r="G35" s="5"/>
      <c r="H35" s="5"/>
      <c r="I35" s="5"/>
      <c r="J35" s="5"/>
      <c r="K35" s="5"/>
      <c r="L35" s="5"/>
      <c r="M35" s="9"/>
      <c r="N35" s="9"/>
      <c r="O35" s="9"/>
      <c r="P35" s="9"/>
      <c r="Q35" s="394"/>
    </row>
    <row r="36" spans="2:16" ht="12.75">
      <c r="B36" s="20"/>
      <c r="C36" s="20"/>
      <c r="D36" s="102" t="s">
        <v>1680</v>
      </c>
      <c r="E36" s="696" t="str">
        <f>Translations!$B$346</f>
        <v>Name of the installation:</v>
      </c>
      <c r="F36" s="695"/>
      <c r="G36" s="695"/>
      <c r="H36" s="695"/>
      <c r="I36" s="761"/>
      <c r="J36" s="762"/>
      <c r="K36" s="763"/>
      <c r="L36" s="763"/>
      <c r="M36" s="763"/>
      <c r="N36" s="764"/>
      <c r="O36" s="20"/>
      <c r="P36" s="20"/>
    </row>
    <row r="37" spans="2:16" ht="12.75">
      <c r="B37" s="20"/>
      <c r="C37" s="20"/>
      <c r="D37" s="16"/>
      <c r="E37" s="750" t="str">
        <f>Translations!$B$347</f>
        <v>This name should be the same as has been already been used for correspondence with the competent authority.</v>
      </c>
      <c r="F37" s="695"/>
      <c r="G37" s="695"/>
      <c r="H37" s="695"/>
      <c r="I37" s="695"/>
      <c r="J37" s="695"/>
      <c r="K37" s="695"/>
      <c r="L37" s="695"/>
      <c r="M37" s="695"/>
      <c r="N37" s="695"/>
      <c r="O37" s="20"/>
      <c r="P37" s="20"/>
    </row>
    <row r="38" spans="2:17" ht="4.5" customHeight="1">
      <c r="B38" s="5"/>
      <c r="C38" s="5"/>
      <c r="D38" s="5"/>
      <c r="E38" s="5"/>
      <c r="F38" s="5"/>
      <c r="G38" s="5"/>
      <c r="H38" s="5"/>
      <c r="I38" s="5"/>
      <c r="J38" s="5"/>
      <c r="K38" s="5"/>
      <c r="L38" s="5"/>
      <c r="M38" s="9"/>
      <c r="N38" s="9"/>
      <c r="O38" s="9"/>
      <c r="P38" s="9"/>
      <c r="Q38" s="394"/>
    </row>
    <row r="39" spans="2:16" ht="12.75">
      <c r="B39" s="20"/>
      <c r="C39" s="20"/>
      <c r="D39" s="102" t="s">
        <v>761</v>
      </c>
      <c r="E39" s="696" t="str">
        <f>Translations!$B$348</f>
        <v>Member State in which the installation is situated:</v>
      </c>
      <c r="F39" s="695"/>
      <c r="G39" s="695"/>
      <c r="H39" s="695"/>
      <c r="I39" s="761"/>
      <c r="J39" s="762"/>
      <c r="K39" s="763"/>
      <c r="L39" s="763"/>
      <c r="M39" s="763"/>
      <c r="N39" s="764"/>
      <c r="O39" s="20"/>
      <c r="P39" s="20"/>
    </row>
    <row r="40" spans="2:16" ht="12.75">
      <c r="B40" s="20"/>
      <c r="C40" s="20"/>
      <c r="D40" s="16"/>
      <c r="E40" s="750" t="str">
        <f>Translations!$B$1032</f>
        <v>"Member State" means here: State which participates in the EU ETS, i.e. EU-27, Croatia, and Iceland, Norway and Liechtenstein.</v>
      </c>
      <c r="F40" s="695"/>
      <c r="G40" s="695"/>
      <c r="H40" s="695"/>
      <c r="I40" s="695"/>
      <c r="J40" s="695"/>
      <c r="K40" s="695"/>
      <c r="L40" s="695"/>
      <c r="M40" s="695"/>
      <c r="N40" s="695"/>
      <c r="O40" s="20"/>
      <c r="P40" s="20"/>
    </row>
    <row r="41" spans="2:17" ht="4.5" customHeight="1">
      <c r="B41" s="5"/>
      <c r="C41" s="5"/>
      <c r="D41" s="5"/>
      <c r="E41" s="5"/>
      <c r="F41" s="5"/>
      <c r="G41" s="5"/>
      <c r="H41" s="5"/>
      <c r="I41" s="5"/>
      <c r="J41" s="5"/>
      <c r="K41" s="5"/>
      <c r="L41" s="5"/>
      <c r="M41" s="9"/>
      <c r="N41" s="9"/>
      <c r="O41" s="9"/>
      <c r="P41" s="9"/>
      <c r="Q41" s="394"/>
    </row>
    <row r="42" spans="2:16" ht="12.75">
      <c r="B42" s="20"/>
      <c r="C42" s="20"/>
      <c r="D42" s="102" t="s">
        <v>1649</v>
      </c>
      <c r="E42" s="845" t="str">
        <f>Translations!$B$349</f>
        <v>Has this installation been included in the EU ETS before?</v>
      </c>
      <c r="F42" s="695"/>
      <c r="G42" s="695"/>
      <c r="H42" s="695"/>
      <c r="I42" s="761"/>
      <c r="J42" s="377"/>
      <c r="K42" s="20"/>
      <c r="L42" s="20"/>
      <c r="M42" s="20"/>
      <c r="N42" s="20"/>
      <c r="O42" s="20"/>
      <c r="P42" s="223"/>
    </row>
    <row r="43" spans="2:17" ht="4.5" customHeight="1">
      <c r="B43" s="5"/>
      <c r="C43" s="5"/>
      <c r="D43" s="5"/>
      <c r="E43" s="5"/>
      <c r="F43" s="5"/>
      <c r="G43" s="5"/>
      <c r="H43" s="5"/>
      <c r="I43" s="5"/>
      <c r="J43" s="5"/>
      <c r="K43" s="5"/>
      <c r="L43" s="5"/>
      <c r="M43" s="9"/>
      <c r="N43" s="9"/>
      <c r="O43" s="9"/>
      <c r="P43" s="9"/>
      <c r="Q43" s="394"/>
    </row>
    <row r="44" spans="2:16" ht="12.75">
      <c r="B44" s="20"/>
      <c r="C44" s="20"/>
      <c r="D44" s="102" t="s">
        <v>413</v>
      </c>
      <c r="E44" s="696" t="str">
        <f>Translations!$B$350</f>
        <v>Unique Identifier provided by the competent authority:</v>
      </c>
      <c r="F44" s="695"/>
      <c r="G44" s="695"/>
      <c r="H44" s="695"/>
      <c r="I44" s="761"/>
      <c r="J44" s="762"/>
      <c r="K44" s="763"/>
      <c r="L44" s="763"/>
      <c r="M44" s="763"/>
      <c r="N44" s="764"/>
      <c r="O44" s="20"/>
      <c r="P44" s="20"/>
    </row>
    <row r="45" spans="2:16" ht="12.75" customHeight="1">
      <c r="B45" s="20"/>
      <c r="C45" s="20"/>
      <c r="D45" s="20"/>
      <c r="E45" s="750" t="str">
        <f>Translations!$B$1033</f>
        <v>This is usually the ID code used for NAP II (if applicable) or the NIMs, or any other ID used by the competent authority for correspondence.</v>
      </c>
      <c r="F45" s="695"/>
      <c r="G45" s="695"/>
      <c r="H45" s="695"/>
      <c r="I45" s="695"/>
      <c r="J45" s="695"/>
      <c r="K45" s="695"/>
      <c r="L45" s="695"/>
      <c r="M45" s="695"/>
      <c r="N45" s="695"/>
      <c r="O45" s="20"/>
      <c r="P45" s="20"/>
    </row>
    <row r="46" spans="2:16" ht="12.75">
      <c r="B46" s="20"/>
      <c r="C46" s="20"/>
      <c r="D46" s="20"/>
      <c r="E46" s="750" t="str">
        <f>Translations!$B$1034</f>
        <v>For new installations ("greenfield plants"), operators are requested to contact the competent authority to receive such ID.</v>
      </c>
      <c r="F46" s="695"/>
      <c r="G46" s="695"/>
      <c r="H46" s="695"/>
      <c r="I46" s="695"/>
      <c r="J46" s="695"/>
      <c r="K46" s="695"/>
      <c r="L46" s="695"/>
      <c r="M46" s="695"/>
      <c r="N46" s="695"/>
      <c r="O46" s="20"/>
      <c r="P46" s="20"/>
    </row>
    <row r="47" spans="2:16" ht="12.75">
      <c r="B47" s="20"/>
      <c r="C47" s="20"/>
      <c r="D47" s="20"/>
      <c r="E47" s="750" t="str">
        <f>Translations!$B$351</f>
        <v>Competent authorities must ensure to have a unique ID available before notifying any data to the European Commission. </v>
      </c>
      <c r="F47" s="695"/>
      <c r="G47" s="695"/>
      <c r="H47" s="695"/>
      <c r="I47" s="695"/>
      <c r="J47" s="695"/>
      <c r="K47" s="695"/>
      <c r="L47" s="695"/>
      <c r="M47" s="695"/>
      <c r="N47" s="695"/>
      <c r="O47" s="20"/>
      <c r="P47" s="20"/>
    </row>
    <row r="48" spans="2:17" ht="4.5" customHeight="1">
      <c r="B48" s="5"/>
      <c r="C48" s="5"/>
      <c r="D48" s="5"/>
      <c r="E48" s="5"/>
      <c r="F48" s="5"/>
      <c r="G48" s="5"/>
      <c r="H48" s="5"/>
      <c r="I48" s="5"/>
      <c r="J48" s="5"/>
      <c r="K48" s="5"/>
      <c r="L48" s="5"/>
      <c r="M48" s="9"/>
      <c r="N48" s="9"/>
      <c r="O48" s="9"/>
      <c r="P48" s="9"/>
      <c r="Q48" s="394"/>
    </row>
    <row r="49" spans="2:16" ht="12.75">
      <c r="B49" s="20"/>
      <c r="C49" s="20"/>
      <c r="D49" s="102" t="s">
        <v>1660</v>
      </c>
      <c r="E49" s="696" t="str">
        <f>Translations!$B$352</f>
        <v>Identification code of the installation in the registry:</v>
      </c>
      <c r="F49" s="695"/>
      <c r="G49" s="695"/>
      <c r="H49" s="695"/>
      <c r="I49" s="761"/>
      <c r="J49" s="772"/>
      <c r="K49" s="773"/>
      <c r="L49" s="773"/>
      <c r="M49" s="773"/>
      <c r="N49" s="774"/>
      <c r="O49" s="20"/>
      <c r="P49" s="20"/>
    </row>
    <row r="50" spans="2:16" ht="12.75">
      <c r="B50" s="20"/>
      <c r="C50" s="20"/>
      <c r="D50" s="20"/>
      <c r="E50" s="750" t="str">
        <f>Translations!$B$353</f>
        <v>This is usually a natural number, i.e. a code different from the permit identifier used in the registry.</v>
      </c>
      <c r="F50" s="695"/>
      <c r="G50" s="695"/>
      <c r="H50" s="695"/>
      <c r="I50" s="695"/>
      <c r="J50" s="695"/>
      <c r="K50" s="695"/>
      <c r="L50" s="695"/>
      <c r="M50" s="695"/>
      <c r="N50" s="695"/>
      <c r="O50" s="20"/>
      <c r="P50" s="20"/>
    </row>
    <row r="51" spans="2:17" ht="4.5" customHeight="1">
      <c r="B51" s="5"/>
      <c r="C51" s="5"/>
      <c r="D51" s="5"/>
      <c r="E51" s="5"/>
      <c r="F51" s="5"/>
      <c r="G51" s="5"/>
      <c r="H51" s="5"/>
      <c r="I51" s="5"/>
      <c r="J51" s="5"/>
      <c r="K51" s="5"/>
      <c r="L51" s="5"/>
      <c r="M51" s="9"/>
      <c r="N51" s="9"/>
      <c r="O51" s="9"/>
      <c r="P51" s="9"/>
      <c r="Q51" s="394"/>
    </row>
    <row r="52" spans="2:16" ht="12.75">
      <c r="B52" s="20"/>
      <c r="C52" s="20"/>
      <c r="D52" s="102" t="s">
        <v>1661</v>
      </c>
      <c r="E52" s="696" t="str">
        <f>Translations!$B$354</f>
        <v>Suggested unique ID for notification to the Commission:</v>
      </c>
      <c r="F52" s="695"/>
      <c r="G52" s="695"/>
      <c r="H52" s="695"/>
      <c r="I52" s="761"/>
      <c r="J52" s="776">
        <f>IF(AND(NOT(ISBLANK(J39)),NOT(ISBLANK(J42))),CONCATENATE(INDEX(EUconst_MSlistISOcodes,MATCH(J39,EUconst_MSlist,0)),IF(J42=TRUE,IF(ISNUMBER(J49),TEXT(J49,"000000000000000"),CONCATENATE("-existing-",IF(ISBLANK(J49),EUconst_Incomplete,J49),"-",IF(ISBLANK(J44),EUconst_Incomplete,J44))),CONCATENATE("-new-",IF(ISBLANK(J44),EUconst_Incomplete,J44),IF(ISBLANK(J49),"",CONCATENATE("-",J49))))),"")</f>
      </c>
      <c r="K52" s="777"/>
      <c r="L52" s="777"/>
      <c r="M52" s="777"/>
      <c r="N52" s="778"/>
      <c r="O52" s="20"/>
      <c r="P52" s="20"/>
    </row>
    <row r="53" spans="2:17" ht="4.5" customHeight="1">
      <c r="B53" s="5"/>
      <c r="C53" s="5"/>
      <c r="D53" s="5"/>
      <c r="E53" s="5"/>
      <c r="F53" s="5"/>
      <c r="G53" s="5"/>
      <c r="H53" s="5"/>
      <c r="I53" s="5"/>
      <c r="J53" s="5"/>
      <c r="K53" s="5"/>
      <c r="L53" s="5"/>
      <c r="M53" s="9"/>
      <c r="N53" s="9"/>
      <c r="O53" s="9"/>
      <c r="P53" s="9"/>
      <c r="Q53" s="394"/>
    </row>
    <row r="54" spans="2:16" ht="12.75">
      <c r="B54" s="20"/>
      <c r="C54" s="20"/>
      <c r="D54" s="102" t="s">
        <v>1405</v>
      </c>
      <c r="E54" s="640" t="str">
        <f>Translations!$B$355</f>
        <v>Information on the Greenhouse gas emissions permit:</v>
      </c>
      <c r="F54" s="742"/>
      <c r="G54" s="742"/>
      <c r="H54" s="742"/>
      <c r="I54" s="742"/>
      <c r="J54" s="695"/>
      <c r="K54" s="695"/>
      <c r="L54" s="695"/>
      <c r="M54" s="695"/>
      <c r="N54" s="695"/>
      <c r="O54" s="20"/>
      <c r="P54" s="20"/>
    </row>
    <row r="55" spans="2:16" ht="12.75">
      <c r="B55" s="20"/>
      <c r="C55" s="20"/>
      <c r="D55" s="20"/>
      <c r="E55" s="750" t="str">
        <f>Translations!$B$356</f>
        <v>Please provide here information on the greenhouse gas emissions permit (=permit issued in accordance with Articles 5 and 6 of the EU ETS Directive).</v>
      </c>
      <c r="F55" s="695"/>
      <c r="G55" s="695"/>
      <c r="H55" s="695"/>
      <c r="I55" s="695"/>
      <c r="J55" s="695"/>
      <c r="K55" s="695"/>
      <c r="L55" s="695"/>
      <c r="M55" s="695"/>
      <c r="N55" s="695"/>
      <c r="O55" s="20"/>
      <c r="P55" s="20"/>
    </row>
    <row r="56" spans="2:16" ht="12.75">
      <c r="B56" s="20"/>
      <c r="C56" s="20"/>
      <c r="D56" s="20"/>
      <c r="E56" s="750" t="str">
        <f>Translations!$B$357</f>
        <v>Member States may make this information optional if the competent authority is in possession of this information already.</v>
      </c>
      <c r="F56" s="695"/>
      <c r="G56" s="695"/>
      <c r="H56" s="695"/>
      <c r="I56" s="695"/>
      <c r="J56" s="695"/>
      <c r="K56" s="695"/>
      <c r="L56" s="695"/>
      <c r="M56" s="695"/>
      <c r="N56" s="695"/>
      <c r="O56" s="20"/>
      <c r="P56" s="20"/>
    </row>
    <row r="57" spans="2:16" ht="12.75">
      <c r="B57" s="20"/>
      <c r="C57" s="20"/>
      <c r="D57" s="105"/>
      <c r="E57" s="103"/>
      <c r="F57" s="727" t="str">
        <f>Translations!$B$358</f>
        <v>Name of Competent authority:</v>
      </c>
      <c r="G57" s="695"/>
      <c r="H57" s="695"/>
      <c r="I57" s="761"/>
      <c r="J57" s="762"/>
      <c r="K57" s="763"/>
      <c r="L57" s="763"/>
      <c r="M57" s="763"/>
      <c r="N57" s="764"/>
      <c r="O57" s="20"/>
      <c r="P57" s="20"/>
    </row>
    <row r="58" spans="2:17" ht="4.5" customHeight="1">
      <c r="B58" s="5"/>
      <c r="C58" s="5"/>
      <c r="D58" s="5"/>
      <c r="E58" s="5"/>
      <c r="F58" s="5"/>
      <c r="G58" s="5"/>
      <c r="H58" s="5"/>
      <c r="I58" s="5"/>
      <c r="J58" s="5"/>
      <c r="K58" s="5"/>
      <c r="L58" s="5"/>
      <c r="M58" s="9"/>
      <c r="N58" s="9"/>
      <c r="O58" s="9"/>
      <c r="P58" s="9"/>
      <c r="Q58" s="394"/>
    </row>
    <row r="59" spans="2:16" ht="12.75">
      <c r="B59" s="20"/>
      <c r="C59" s="20"/>
      <c r="D59" s="102"/>
      <c r="E59" s="103"/>
      <c r="F59" s="857" t="str">
        <f>Translations!$B$359</f>
        <v>First GHG permit received when the installation was included in the ETS for the first time:</v>
      </c>
      <c r="G59" s="698"/>
      <c r="H59" s="698"/>
      <c r="I59" s="698"/>
      <c r="J59" s="698"/>
      <c r="K59" s="698"/>
      <c r="L59" s="698"/>
      <c r="M59" s="698"/>
      <c r="N59" s="698"/>
      <c r="O59" s="20"/>
      <c r="P59" s="20"/>
    </row>
    <row r="60" spans="2:16" ht="12.75">
      <c r="B60" s="20"/>
      <c r="C60" s="20"/>
      <c r="D60" s="105"/>
      <c r="E60" s="194" t="s">
        <v>1521</v>
      </c>
      <c r="F60" s="846" t="str">
        <f>Translations!$B$360</f>
        <v>Permit-ID:</v>
      </c>
      <c r="G60" s="847"/>
      <c r="H60" s="847"/>
      <c r="I60" s="848"/>
      <c r="J60" s="790"/>
      <c r="K60" s="791"/>
      <c r="L60" s="791"/>
      <c r="M60" s="791"/>
      <c r="N60" s="791"/>
      <c r="O60" s="20"/>
      <c r="P60" s="20"/>
    </row>
    <row r="61" spans="2:16" ht="12.75">
      <c r="B61" s="20"/>
      <c r="C61" s="20"/>
      <c r="D61" s="105"/>
      <c r="E61" s="194" t="s">
        <v>1522</v>
      </c>
      <c r="F61" s="842" t="str">
        <f>Translations!$B$361</f>
        <v>Date of issuance:</v>
      </c>
      <c r="G61" s="843"/>
      <c r="H61" s="843"/>
      <c r="I61" s="844"/>
      <c r="J61" s="840"/>
      <c r="K61" s="841"/>
      <c r="L61" s="841"/>
      <c r="M61" s="841"/>
      <c r="N61" s="841"/>
      <c r="O61" s="20"/>
      <c r="P61" s="20"/>
    </row>
    <row r="62" spans="2:17" ht="4.5" customHeight="1">
      <c r="B62" s="5"/>
      <c r="C62" s="5"/>
      <c r="D62" s="5"/>
      <c r="E62" s="193"/>
      <c r="F62" s="5"/>
      <c r="G62" s="5"/>
      <c r="H62" s="5"/>
      <c r="I62" s="5"/>
      <c r="J62" s="5"/>
      <c r="K62" s="5"/>
      <c r="L62" s="5"/>
      <c r="M62" s="9"/>
      <c r="N62" s="9"/>
      <c r="O62" s="9"/>
      <c r="P62" s="9"/>
      <c r="Q62" s="394"/>
    </row>
    <row r="63" spans="2:16" ht="12.75">
      <c r="B63" s="20"/>
      <c r="C63" s="20"/>
      <c r="D63" s="102"/>
      <c r="E63" s="194"/>
      <c r="F63" s="856" t="str">
        <f>Translations!$B$1529</f>
        <v>Most recent update of the permit:</v>
      </c>
      <c r="G63" s="698"/>
      <c r="H63" s="698"/>
      <c r="I63" s="698"/>
      <c r="J63" s="698"/>
      <c r="K63" s="698"/>
      <c r="L63" s="698"/>
      <c r="M63" s="698"/>
      <c r="N63" s="698"/>
      <c r="O63" s="20"/>
      <c r="P63" s="20"/>
    </row>
    <row r="64" spans="2:16" ht="12.75">
      <c r="B64" s="20"/>
      <c r="C64" s="20"/>
      <c r="D64" s="105"/>
      <c r="E64" s="194" t="s">
        <v>1523</v>
      </c>
      <c r="F64" s="846" t="str">
        <f>Translations!$B$360</f>
        <v>Permit-ID:</v>
      </c>
      <c r="G64" s="847"/>
      <c r="H64" s="847"/>
      <c r="I64" s="848"/>
      <c r="J64" s="853"/>
      <c r="K64" s="854"/>
      <c r="L64" s="854"/>
      <c r="M64" s="854"/>
      <c r="N64" s="854"/>
      <c r="O64" s="20"/>
      <c r="P64" s="20"/>
    </row>
    <row r="65" spans="2:16" ht="12.75">
      <c r="B65" s="20"/>
      <c r="C65" s="20"/>
      <c r="D65" s="105"/>
      <c r="E65" s="194" t="s">
        <v>568</v>
      </c>
      <c r="F65" s="842" t="str">
        <f>Translations!$B$361</f>
        <v>Date of issuance:</v>
      </c>
      <c r="G65" s="843"/>
      <c r="H65" s="843"/>
      <c r="I65" s="844"/>
      <c r="J65" s="840"/>
      <c r="K65" s="841"/>
      <c r="L65" s="841"/>
      <c r="M65" s="841"/>
      <c r="N65" s="841"/>
      <c r="O65" s="20"/>
      <c r="P65" s="20"/>
    </row>
    <row r="66" spans="2:17" ht="4.5" customHeight="1">
      <c r="B66" s="5"/>
      <c r="C66" s="5"/>
      <c r="D66" s="5"/>
      <c r="E66" s="5"/>
      <c r="F66" s="5"/>
      <c r="G66" s="5"/>
      <c r="H66" s="5"/>
      <c r="I66" s="5"/>
      <c r="J66" s="5"/>
      <c r="K66" s="5"/>
      <c r="L66" s="5"/>
      <c r="M66" s="9"/>
      <c r="N66" s="9"/>
      <c r="O66" s="9"/>
      <c r="P66" s="20"/>
      <c r="Q66" s="394"/>
    </row>
    <row r="67" spans="2:16" ht="12.75">
      <c r="B67" s="20"/>
      <c r="C67" s="223"/>
      <c r="D67" s="14" t="s">
        <v>1789</v>
      </c>
      <c r="E67" s="845" t="str">
        <f>Translations!$B$363</f>
        <v>Operator data:</v>
      </c>
      <c r="F67" s="695"/>
      <c r="G67" s="695"/>
      <c r="H67" s="695"/>
      <c r="I67" s="695"/>
      <c r="J67" s="695"/>
      <c r="K67" s="695"/>
      <c r="L67" s="695"/>
      <c r="M67" s="695"/>
      <c r="N67" s="695"/>
      <c r="O67" s="20"/>
      <c r="P67" s="20"/>
    </row>
    <row r="68" spans="2:16" ht="25.5" customHeight="1">
      <c r="B68" s="20"/>
      <c r="C68" s="20"/>
      <c r="D68" s="16"/>
      <c r="E68" s="759" t="str">
        <f>Translations!$B$364</f>
        <v>The operator is the [natural or legal] person who operates or controls an installation or, where this is provided for in national legislation, to whom decisive economic power over the technical functioning of the installation has been delegated.</v>
      </c>
      <c r="F68" s="855"/>
      <c r="G68" s="855"/>
      <c r="H68" s="855"/>
      <c r="I68" s="855"/>
      <c r="J68" s="855"/>
      <c r="K68" s="855"/>
      <c r="L68" s="855"/>
      <c r="M68" s="855"/>
      <c r="N68" s="855"/>
      <c r="O68" s="20"/>
      <c r="P68" s="20"/>
    </row>
    <row r="69" spans="2:16" ht="12.75">
      <c r="B69" s="20"/>
      <c r="C69" s="20"/>
      <c r="D69" s="105"/>
      <c r="E69" s="103"/>
      <c r="F69" s="194" t="s">
        <v>1521</v>
      </c>
      <c r="G69" s="846" t="str">
        <f>Translations!$B$365</f>
        <v>Operator Name:</v>
      </c>
      <c r="H69" s="847"/>
      <c r="I69" s="848"/>
      <c r="J69" s="790"/>
      <c r="K69" s="791"/>
      <c r="L69" s="791"/>
      <c r="M69" s="791"/>
      <c r="N69" s="791"/>
      <c r="O69" s="20"/>
      <c r="P69" s="20"/>
    </row>
    <row r="70" spans="2:16" ht="12.75">
      <c r="B70" s="20"/>
      <c r="C70" s="20"/>
      <c r="D70" s="105"/>
      <c r="E70" s="103"/>
      <c r="F70" s="194" t="s">
        <v>1522</v>
      </c>
      <c r="G70" s="755" t="str">
        <f>Translations!$B$366</f>
        <v>Street, Number:</v>
      </c>
      <c r="H70" s="756"/>
      <c r="I70" s="757"/>
      <c r="J70" s="753"/>
      <c r="K70" s="754"/>
      <c r="L70" s="754"/>
      <c r="M70" s="754"/>
      <c r="N70" s="754"/>
      <c r="O70" s="20"/>
      <c r="P70" s="20"/>
    </row>
    <row r="71" spans="2:16" ht="12.75">
      <c r="B71" s="20"/>
      <c r="C71" s="20"/>
      <c r="D71" s="105"/>
      <c r="E71" s="103"/>
      <c r="F71" s="194" t="s">
        <v>1523</v>
      </c>
      <c r="G71" s="755" t="str">
        <f>Translations!$B$367</f>
        <v>ZIP-Code:</v>
      </c>
      <c r="H71" s="756"/>
      <c r="I71" s="757"/>
      <c r="J71" s="753"/>
      <c r="K71" s="754"/>
      <c r="L71" s="754"/>
      <c r="M71" s="754"/>
      <c r="N71" s="754"/>
      <c r="O71" s="20"/>
      <c r="P71" s="20"/>
    </row>
    <row r="72" spans="2:16" ht="12.75">
      <c r="B72" s="20"/>
      <c r="C72" s="20"/>
      <c r="D72" s="105"/>
      <c r="E72" s="103"/>
      <c r="F72" s="194" t="s">
        <v>568</v>
      </c>
      <c r="G72" s="755" t="str">
        <f>Translations!$B$368</f>
        <v>City:</v>
      </c>
      <c r="H72" s="756"/>
      <c r="I72" s="757"/>
      <c r="J72" s="753"/>
      <c r="K72" s="754"/>
      <c r="L72" s="754"/>
      <c r="M72" s="754"/>
      <c r="N72" s="754"/>
      <c r="O72" s="20"/>
      <c r="P72" s="20"/>
    </row>
    <row r="73" spans="2:16" ht="12.75">
      <c r="B73" s="20"/>
      <c r="C73" s="20"/>
      <c r="D73" s="105"/>
      <c r="E73" s="103"/>
      <c r="F73" s="194" t="s">
        <v>452</v>
      </c>
      <c r="G73" s="755" t="str">
        <f>Translations!$B$369</f>
        <v>Country:</v>
      </c>
      <c r="H73" s="756"/>
      <c r="I73" s="757"/>
      <c r="J73" s="753"/>
      <c r="K73" s="754"/>
      <c r="L73" s="754"/>
      <c r="M73" s="754"/>
      <c r="N73" s="754"/>
      <c r="O73" s="20"/>
      <c r="P73" s="20"/>
    </row>
    <row r="74" spans="2:16" ht="12.75">
      <c r="B74" s="20"/>
      <c r="C74" s="20"/>
      <c r="D74" s="105"/>
      <c r="E74" s="103"/>
      <c r="F74" s="194" t="s">
        <v>453</v>
      </c>
      <c r="G74" s="755" t="str">
        <f>Translations!$B$370</f>
        <v>Name of authorized representative:</v>
      </c>
      <c r="H74" s="756"/>
      <c r="I74" s="757"/>
      <c r="J74" s="753"/>
      <c r="K74" s="754"/>
      <c r="L74" s="754"/>
      <c r="M74" s="754"/>
      <c r="N74" s="754"/>
      <c r="O74" s="20"/>
      <c r="P74" s="20"/>
    </row>
    <row r="75" spans="2:16" ht="12.75">
      <c r="B75" s="20"/>
      <c r="C75" s="20"/>
      <c r="D75" s="105"/>
      <c r="E75" s="103"/>
      <c r="F75" s="194" t="s">
        <v>454</v>
      </c>
      <c r="G75" s="755" t="str">
        <f>Translations!$B$371</f>
        <v>Email:</v>
      </c>
      <c r="H75" s="756"/>
      <c r="I75" s="757"/>
      <c r="J75" s="753"/>
      <c r="K75" s="754"/>
      <c r="L75" s="754"/>
      <c r="M75" s="754"/>
      <c r="N75" s="754"/>
      <c r="O75" s="20"/>
      <c r="P75" s="20"/>
    </row>
    <row r="76" spans="2:16" ht="12.75">
      <c r="B76" s="20"/>
      <c r="C76" s="20"/>
      <c r="D76" s="105"/>
      <c r="E76" s="103"/>
      <c r="F76" s="194" t="s">
        <v>455</v>
      </c>
      <c r="G76" s="755" t="str">
        <f>Translations!$B$372</f>
        <v>Telephone:</v>
      </c>
      <c r="H76" s="756"/>
      <c r="I76" s="757"/>
      <c r="J76" s="753"/>
      <c r="K76" s="754"/>
      <c r="L76" s="754"/>
      <c r="M76" s="754"/>
      <c r="N76" s="754"/>
      <c r="O76" s="20"/>
      <c r="P76" s="20"/>
    </row>
    <row r="77" spans="2:16" ht="12.75">
      <c r="B77" s="20"/>
      <c r="C77" s="20"/>
      <c r="D77" s="105"/>
      <c r="E77" s="103"/>
      <c r="F77" s="194" t="s">
        <v>456</v>
      </c>
      <c r="G77" s="842" t="str">
        <f>Translations!$B$373</f>
        <v>Fax:</v>
      </c>
      <c r="H77" s="843"/>
      <c r="I77" s="844"/>
      <c r="J77" s="840"/>
      <c r="K77" s="841"/>
      <c r="L77" s="841"/>
      <c r="M77" s="841"/>
      <c r="N77" s="841"/>
      <c r="O77" s="20"/>
      <c r="P77" s="20"/>
    </row>
    <row r="78" spans="2:17" ht="4.5" customHeight="1">
      <c r="B78" s="5"/>
      <c r="C78" s="5"/>
      <c r="D78" s="5"/>
      <c r="E78" s="5"/>
      <c r="F78" s="5"/>
      <c r="G78" s="5"/>
      <c r="H78" s="5"/>
      <c r="I78" s="5"/>
      <c r="J78" s="5"/>
      <c r="K78" s="5"/>
      <c r="L78" s="5"/>
      <c r="M78" s="9"/>
      <c r="N78" s="9"/>
      <c r="O78" s="9"/>
      <c r="P78" s="9"/>
      <c r="Q78" s="394"/>
    </row>
    <row r="79" spans="2:16" ht="12.75">
      <c r="B79" s="20"/>
      <c r="C79" s="20"/>
      <c r="D79" s="14" t="s">
        <v>1791</v>
      </c>
      <c r="E79" s="845" t="str">
        <f>Translations!$B$374</f>
        <v>Installation address:</v>
      </c>
      <c r="F79" s="695"/>
      <c r="G79" s="695"/>
      <c r="H79" s="695"/>
      <c r="I79" s="695"/>
      <c r="J79" s="695"/>
      <c r="K79" s="695"/>
      <c r="L79" s="695"/>
      <c r="M79" s="695"/>
      <c r="N79" s="695"/>
      <c r="O79" s="20"/>
      <c r="P79" s="20"/>
    </row>
    <row r="80" spans="2:16" ht="12.75">
      <c r="B80" s="20"/>
      <c r="C80" s="20"/>
      <c r="D80" s="105"/>
      <c r="E80" s="103"/>
      <c r="F80" s="194" t="s">
        <v>1521</v>
      </c>
      <c r="G80" s="846" t="str">
        <f>Translations!$B$366</f>
        <v>Street, Number:</v>
      </c>
      <c r="H80" s="847"/>
      <c r="I80" s="848"/>
      <c r="J80" s="790"/>
      <c r="K80" s="791"/>
      <c r="L80" s="791"/>
      <c r="M80" s="791"/>
      <c r="N80" s="791"/>
      <c r="O80" s="20"/>
      <c r="P80" s="20"/>
    </row>
    <row r="81" spans="2:16" ht="12.75">
      <c r="B81" s="20"/>
      <c r="C81" s="20"/>
      <c r="D81" s="105"/>
      <c r="E81" s="103"/>
      <c r="F81" s="194" t="s">
        <v>1522</v>
      </c>
      <c r="G81" s="755" t="str">
        <f>Translations!$B$367</f>
        <v>ZIP-Code:</v>
      </c>
      <c r="H81" s="756"/>
      <c r="I81" s="757"/>
      <c r="J81" s="753"/>
      <c r="K81" s="754"/>
      <c r="L81" s="754"/>
      <c r="M81" s="754"/>
      <c r="N81" s="754"/>
      <c r="O81" s="20"/>
      <c r="P81" s="20"/>
    </row>
    <row r="82" spans="2:16" ht="12.75">
      <c r="B82" s="20"/>
      <c r="C82" s="20"/>
      <c r="D82" s="105"/>
      <c r="E82" s="103"/>
      <c r="F82" s="194" t="s">
        <v>1523</v>
      </c>
      <c r="G82" s="755" t="str">
        <f>Translations!$B$368</f>
        <v>City:</v>
      </c>
      <c r="H82" s="756"/>
      <c r="I82" s="757"/>
      <c r="J82" s="753"/>
      <c r="K82" s="754"/>
      <c r="L82" s="754"/>
      <c r="M82" s="754"/>
      <c r="N82" s="754"/>
      <c r="O82" s="20"/>
      <c r="P82" s="20"/>
    </row>
    <row r="83" spans="2:16" ht="12.75">
      <c r="B83" s="20"/>
      <c r="C83" s="20"/>
      <c r="D83" s="105"/>
      <c r="E83" s="103"/>
      <c r="F83" s="194" t="s">
        <v>568</v>
      </c>
      <c r="G83" s="842" t="str">
        <f>Translations!$B$369</f>
        <v>Country:</v>
      </c>
      <c r="H83" s="843"/>
      <c r="I83" s="844"/>
      <c r="J83" s="840"/>
      <c r="K83" s="841"/>
      <c r="L83" s="841"/>
      <c r="M83" s="841"/>
      <c r="N83" s="841"/>
      <c r="O83" s="20"/>
      <c r="P83" s="20"/>
    </row>
    <row r="84" spans="2:17" ht="12.75" customHeight="1">
      <c r="B84" s="5"/>
      <c r="C84" s="5"/>
      <c r="D84" s="5"/>
      <c r="E84" s="5"/>
      <c r="F84" s="5"/>
      <c r="G84" s="5"/>
      <c r="H84" s="5"/>
      <c r="I84" s="5"/>
      <c r="J84" s="5"/>
      <c r="K84" s="5"/>
      <c r="L84" s="5"/>
      <c r="M84" s="9"/>
      <c r="N84" s="9"/>
      <c r="O84" s="9"/>
      <c r="P84" s="9"/>
      <c r="Q84" s="394"/>
    </row>
    <row r="85" spans="2:16" ht="15">
      <c r="B85" s="789"/>
      <c r="C85" s="18">
        <v>2</v>
      </c>
      <c r="D85" s="760" t="str">
        <f>Translations!$B$375</f>
        <v>Contact persons:</v>
      </c>
      <c r="E85" s="695"/>
      <c r="F85" s="695"/>
      <c r="G85" s="695"/>
      <c r="H85" s="695"/>
      <c r="I85" s="695"/>
      <c r="J85" s="695"/>
      <c r="K85" s="695"/>
      <c r="L85" s="695"/>
      <c r="M85" s="695"/>
      <c r="N85" s="695"/>
      <c r="O85" s="20"/>
      <c r="P85" s="20"/>
    </row>
    <row r="86" spans="2:16" ht="15" customHeight="1">
      <c r="B86" s="789"/>
      <c r="C86" s="3"/>
      <c r="D86" s="20"/>
      <c r="E86" s="750" t="str">
        <f>Translations!$B$376</f>
        <v>Please nominate persons here whom the competent authority can contact in case of questions regarding this report, including its verification.</v>
      </c>
      <c r="F86" s="695"/>
      <c r="G86" s="695"/>
      <c r="H86" s="695"/>
      <c r="I86" s="695"/>
      <c r="J86" s="695"/>
      <c r="K86" s="695"/>
      <c r="L86" s="695"/>
      <c r="M86" s="695"/>
      <c r="N86" s="695"/>
      <c r="O86" s="20"/>
      <c r="P86" s="20"/>
    </row>
    <row r="87" spans="2:17" ht="4.5" customHeight="1">
      <c r="B87" s="789"/>
      <c r="C87" s="19"/>
      <c r="D87" s="5"/>
      <c r="E87" s="5"/>
      <c r="F87" s="5"/>
      <c r="G87" s="5"/>
      <c r="H87" s="5"/>
      <c r="I87" s="5"/>
      <c r="J87" s="5"/>
      <c r="K87" s="5"/>
      <c r="L87" s="5"/>
      <c r="M87" s="9"/>
      <c r="N87" s="9"/>
      <c r="O87" s="9"/>
      <c r="P87" s="9"/>
      <c r="Q87" s="394"/>
    </row>
    <row r="88" spans="2:16" ht="12.75" customHeight="1">
      <c r="B88" s="789"/>
      <c r="C88" s="19"/>
      <c r="D88" s="102" t="s">
        <v>1680</v>
      </c>
      <c r="E88" s="845" t="str">
        <f>Translations!$B$377</f>
        <v>Primary contact person for technical questions regarding installation data:</v>
      </c>
      <c r="F88" s="695"/>
      <c r="G88" s="695"/>
      <c r="H88" s="695"/>
      <c r="I88" s="695"/>
      <c r="J88" s="695"/>
      <c r="K88" s="695"/>
      <c r="L88" s="695"/>
      <c r="M88" s="695"/>
      <c r="N88" s="695"/>
      <c r="O88" s="20"/>
      <c r="P88" s="20"/>
    </row>
    <row r="89" spans="2:16" ht="12.75" customHeight="1">
      <c r="B89" s="789"/>
      <c r="C89" s="19"/>
      <c r="D89" s="105"/>
      <c r="E89" s="103"/>
      <c r="F89" s="194" t="s">
        <v>1521</v>
      </c>
      <c r="G89" s="846" t="str">
        <f>Translations!$B$378</f>
        <v>Name:</v>
      </c>
      <c r="H89" s="847"/>
      <c r="I89" s="848"/>
      <c r="J89" s="790"/>
      <c r="K89" s="791"/>
      <c r="L89" s="791"/>
      <c r="M89" s="791"/>
      <c r="N89" s="791"/>
      <c r="O89" s="20"/>
      <c r="P89" s="20"/>
    </row>
    <row r="90" spans="2:16" ht="12.75" customHeight="1">
      <c r="B90" s="789"/>
      <c r="C90" s="19"/>
      <c r="D90" s="105"/>
      <c r="E90" s="103"/>
      <c r="F90" s="194" t="s">
        <v>1522</v>
      </c>
      <c r="G90" s="755" t="str">
        <f>Translations!$B$371</f>
        <v>Email:</v>
      </c>
      <c r="H90" s="756"/>
      <c r="I90" s="757"/>
      <c r="J90" s="753"/>
      <c r="K90" s="754"/>
      <c r="L90" s="754"/>
      <c r="M90" s="754"/>
      <c r="N90" s="754"/>
      <c r="O90" s="20"/>
      <c r="P90" s="20"/>
    </row>
    <row r="91" spans="2:16" ht="12.75" customHeight="1">
      <c r="B91" s="789"/>
      <c r="C91" s="19"/>
      <c r="D91" s="105"/>
      <c r="E91" s="103"/>
      <c r="F91" s="194" t="s">
        <v>1523</v>
      </c>
      <c r="G91" s="755" t="str">
        <f>Translations!$B$372</f>
        <v>Telephone:</v>
      </c>
      <c r="H91" s="756"/>
      <c r="I91" s="757"/>
      <c r="J91" s="753"/>
      <c r="K91" s="754"/>
      <c r="L91" s="754"/>
      <c r="M91" s="754"/>
      <c r="N91" s="754"/>
      <c r="O91" s="20"/>
      <c r="P91" s="20"/>
    </row>
    <row r="92" spans="2:16" ht="12.75" customHeight="1">
      <c r="B92" s="789"/>
      <c r="C92" s="19"/>
      <c r="D92" s="105"/>
      <c r="E92" s="103"/>
      <c r="F92" s="194" t="s">
        <v>568</v>
      </c>
      <c r="G92" s="842" t="str">
        <f>Translations!$B$373</f>
        <v>Fax:</v>
      </c>
      <c r="H92" s="843"/>
      <c r="I92" s="844"/>
      <c r="J92" s="840"/>
      <c r="K92" s="841"/>
      <c r="L92" s="841"/>
      <c r="M92" s="841"/>
      <c r="N92" s="841"/>
      <c r="O92" s="20"/>
      <c r="P92" s="20"/>
    </row>
    <row r="93" spans="2:17" ht="4.5" customHeight="1">
      <c r="B93" s="789"/>
      <c r="C93" s="19"/>
      <c r="D93" s="5"/>
      <c r="E93" s="5"/>
      <c r="F93" s="5"/>
      <c r="G93" s="5"/>
      <c r="H93" s="5"/>
      <c r="I93" s="5"/>
      <c r="J93" s="5"/>
      <c r="K93" s="5"/>
      <c r="L93" s="5"/>
      <c r="M93" s="9"/>
      <c r="N93" s="9"/>
      <c r="O93" s="9"/>
      <c r="P93" s="9"/>
      <c r="Q93" s="394"/>
    </row>
    <row r="94" spans="2:16" ht="12.75" customHeight="1">
      <c r="B94" s="789"/>
      <c r="C94" s="19"/>
      <c r="D94" s="102" t="s">
        <v>761</v>
      </c>
      <c r="E94" s="845" t="str">
        <f>Translations!$B$379</f>
        <v>Alternative contact person:</v>
      </c>
      <c r="F94" s="695"/>
      <c r="G94" s="695"/>
      <c r="H94" s="695"/>
      <c r="I94" s="695"/>
      <c r="J94" s="695"/>
      <c r="K94" s="695"/>
      <c r="L94" s="695"/>
      <c r="M94" s="695"/>
      <c r="N94" s="695"/>
      <c r="O94" s="20"/>
      <c r="P94" s="20"/>
    </row>
    <row r="95" spans="2:16" ht="12.75" customHeight="1">
      <c r="B95" s="789"/>
      <c r="C95" s="19"/>
      <c r="D95" s="105"/>
      <c r="E95" s="103"/>
      <c r="F95" s="194" t="s">
        <v>1521</v>
      </c>
      <c r="G95" s="846" t="str">
        <f>Translations!$B$378</f>
        <v>Name:</v>
      </c>
      <c r="H95" s="847"/>
      <c r="I95" s="848"/>
      <c r="J95" s="853"/>
      <c r="K95" s="854"/>
      <c r="L95" s="854"/>
      <c r="M95" s="854"/>
      <c r="N95" s="854"/>
      <c r="O95" s="20"/>
      <c r="P95" s="20"/>
    </row>
    <row r="96" spans="2:16" ht="12.75" customHeight="1">
      <c r="B96" s="789"/>
      <c r="C96" s="19"/>
      <c r="D96" s="105"/>
      <c r="E96" s="103"/>
      <c r="F96" s="194" t="s">
        <v>1522</v>
      </c>
      <c r="G96" s="755" t="str">
        <f>Translations!$B$371</f>
        <v>Email:</v>
      </c>
      <c r="H96" s="756"/>
      <c r="I96" s="757"/>
      <c r="J96" s="849"/>
      <c r="K96" s="850"/>
      <c r="L96" s="850"/>
      <c r="M96" s="850"/>
      <c r="N96" s="850"/>
      <c r="O96" s="20"/>
      <c r="P96" s="20"/>
    </row>
    <row r="97" spans="2:16" ht="12.75" customHeight="1">
      <c r="B97" s="789"/>
      <c r="C97" s="19"/>
      <c r="D97" s="105"/>
      <c r="E97" s="103"/>
      <c r="F97" s="194" t="s">
        <v>1523</v>
      </c>
      <c r="G97" s="755" t="str">
        <f>Translations!$B$372</f>
        <v>Telephone:</v>
      </c>
      <c r="H97" s="756"/>
      <c r="I97" s="757"/>
      <c r="J97" s="849"/>
      <c r="K97" s="850"/>
      <c r="L97" s="850"/>
      <c r="M97" s="850"/>
      <c r="N97" s="850"/>
      <c r="O97" s="20"/>
      <c r="P97" s="20"/>
    </row>
    <row r="98" spans="2:16" ht="12.75" customHeight="1">
      <c r="B98" s="789"/>
      <c r="C98" s="19"/>
      <c r="D98" s="105"/>
      <c r="E98" s="103"/>
      <c r="F98" s="194" t="s">
        <v>568</v>
      </c>
      <c r="G98" s="842" t="str">
        <f>Translations!$B$373</f>
        <v>Fax:</v>
      </c>
      <c r="H98" s="843"/>
      <c r="I98" s="844"/>
      <c r="J98" s="840"/>
      <c r="K98" s="841"/>
      <c r="L98" s="841"/>
      <c r="M98" s="841"/>
      <c r="N98" s="841"/>
      <c r="O98" s="20"/>
      <c r="P98" s="20"/>
    </row>
    <row r="99" spans="2:17" ht="12.75" customHeight="1">
      <c r="B99" s="5"/>
      <c r="C99" s="5"/>
      <c r="D99" s="5"/>
      <c r="E99" s="5"/>
      <c r="F99" s="5"/>
      <c r="G99" s="5"/>
      <c r="H99" s="5"/>
      <c r="I99" s="5"/>
      <c r="J99" s="5"/>
      <c r="K99" s="5"/>
      <c r="L99" s="5"/>
      <c r="M99" s="9"/>
      <c r="N99" s="9"/>
      <c r="O99" s="9"/>
      <c r="P99" s="9"/>
      <c r="Q99" s="394"/>
    </row>
    <row r="100" spans="2:16" ht="15">
      <c r="B100" s="789"/>
      <c r="C100" s="18">
        <v>3</v>
      </c>
      <c r="D100" s="760" t="str">
        <f>Translations!$B$391</f>
        <v>Further installation data:</v>
      </c>
      <c r="E100" s="695"/>
      <c r="F100" s="695"/>
      <c r="G100" s="695"/>
      <c r="H100" s="695"/>
      <c r="I100" s="695"/>
      <c r="J100" s="695"/>
      <c r="K100" s="695"/>
      <c r="L100" s="695"/>
      <c r="M100" s="695"/>
      <c r="N100" s="695"/>
      <c r="O100" s="20"/>
      <c r="P100" s="20"/>
    </row>
    <row r="101" spans="2:17" ht="4.5" customHeight="1">
      <c r="B101" s="789"/>
      <c r="C101" s="5"/>
      <c r="D101" s="5"/>
      <c r="E101" s="5"/>
      <c r="F101" s="5"/>
      <c r="G101" s="5"/>
      <c r="H101" s="5"/>
      <c r="I101" s="5"/>
      <c r="J101" s="5"/>
      <c r="K101" s="5"/>
      <c r="L101" s="5"/>
      <c r="M101" s="9"/>
      <c r="N101" s="9"/>
      <c r="O101" s="9"/>
      <c r="P101" s="9"/>
      <c r="Q101" s="394"/>
    </row>
    <row r="102" spans="2:16" ht="15" customHeight="1">
      <c r="B102" s="789"/>
      <c r="C102" s="3"/>
      <c r="D102" s="102" t="s">
        <v>1680</v>
      </c>
      <c r="E102" s="696" t="str">
        <f>Translations!$B$392</f>
        <v>Activities according to Annex I of the EU ETS Directive:</v>
      </c>
      <c r="F102" s="695"/>
      <c r="G102" s="695"/>
      <c r="H102" s="695"/>
      <c r="I102" s="695"/>
      <c r="J102" s="695"/>
      <c r="K102" s="695"/>
      <c r="L102" s="695"/>
      <c r="M102" s="695"/>
      <c r="N102" s="695"/>
      <c r="O102" s="20"/>
      <c r="P102" s="20"/>
    </row>
    <row r="103" spans="2:16" ht="12.75" customHeight="1">
      <c r="B103" s="789"/>
      <c r="C103" s="19"/>
      <c r="D103" s="16"/>
      <c r="E103" s="750" t="str">
        <f>Translations!$B$393</f>
        <v>To the extent feasible, please sort the list with regard to the direct emissions, starting with the activity causing the highest direct emissions.</v>
      </c>
      <c r="F103" s="695"/>
      <c r="G103" s="695"/>
      <c r="H103" s="695"/>
      <c r="I103" s="695"/>
      <c r="J103" s="695"/>
      <c r="K103" s="695"/>
      <c r="L103" s="695"/>
      <c r="M103" s="695"/>
      <c r="N103" s="695"/>
      <c r="O103" s="20"/>
      <c r="P103" s="20"/>
    </row>
    <row r="104" spans="2:17" ht="13.5" customHeight="1" thickBot="1">
      <c r="B104" s="789"/>
      <c r="C104" s="19"/>
      <c r="D104" s="105"/>
      <c r="E104" s="106" t="str">
        <f>Translations!$B$394</f>
        <v>Number</v>
      </c>
      <c r="F104" s="107" t="str">
        <f>Translations!$B$395</f>
        <v>Name of activity (Annex I of the ETS Directive)</v>
      </c>
      <c r="G104" s="108"/>
      <c r="H104" s="109"/>
      <c r="I104" s="109"/>
      <c r="J104" s="110"/>
      <c r="K104" s="110"/>
      <c r="L104" s="110"/>
      <c r="M104" s="22"/>
      <c r="N104" s="22"/>
      <c r="O104" s="20"/>
      <c r="P104" s="20"/>
      <c r="Q104" s="386" t="s">
        <v>1428</v>
      </c>
    </row>
    <row r="105" spans="2:17" ht="12.75" customHeight="1">
      <c r="B105" s="789"/>
      <c r="C105" s="19"/>
      <c r="D105" s="105"/>
      <c r="E105" s="436">
        <v>1</v>
      </c>
      <c r="F105" s="851"/>
      <c r="G105" s="852"/>
      <c r="H105" s="852"/>
      <c r="I105" s="852"/>
      <c r="J105" s="852"/>
      <c r="K105" s="852"/>
      <c r="L105" s="852"/>
      <c r="M105" s="852"/>
      <c r="N105" s="852"/>
      <c r="O105" s="20"/>
      <c r="P105" s="20"/>
      <c r="Q105" s="405">
        <f>IF(ISBLANK(F105),"",MATCH(F105,EUconst_AnnexIActivities,0))</f>
      </c>
    </row>
    <row r="106" spans="2:17" ht="12.75" customHeight="1">
      <c r="B106" s="789"/>
      <c r="C106" s="19"/>
      <c r="D106" s="105"/>
      <c r="E106" s="437">
        <f>E105+1</f>
        <v>2</v>
      </c>
      <c r="F106" s="751"/>
      <c r="G106" s="752"/>
      <c r="H106" s="752"/>
      <c r="I106" s="752"/>
      <c r="J106" s="752"/>
      <c r="K106" s="752"/>
      <c r="L106" s="752"/>
      <c r="M106" s="752"/>
      <c r="N106" s="752"/>
      <c r="O106" s="20"/>
      <c r="P106" s="20"/>
      <c r="Q106" s="406">
        <f>IF(ISBLANK(F106),"",MATCH(F106,EUconst_AnnexIActivities,0))</f>
      </c>
    </row>
    <row r="107" spans="2:17" ht="12.75" customHeight="1">
      <c r="B107" s="789"/>
      <c r="C107" s="19"/>
      <c r="D107" s="105"/>
      <c r="E107" s="437">
        <f>E106+1</f>
        <v>3</v>
      </c>
      <c r="F107" s="751"/>
      <c r="G107" s="752"/>
      <c r="H107" s="752"/>
      <c r="I107" s="752"/>
      <c r="J107" s="752"/>
      <c r="K107" s="752"/>
      <c r="L107" s="752"/>
      <c r="M107" s="752"/>
      <c r="N107" s="752"/>
      <c r="O107" s="20"/>
      <c r="P107" s="20"/>
      <c r="Q107" s="406">
        <f>IF(ISBLANK(F107),"",MATCH(F107,EUconst_AnnexIActivities,0))</f>
      </c>
    </row>
    <row r="108" spans="2:17" ht="12.75" customHeight="1">
      <c r="B108" s="789"/>
      <c r="C108" s="19"/>
      <c r="D108" s="105"/>
      <c r="E108" s="437">
        <f>E107+1</f>
        <v>4</v>
      </c>
      <c r="F108" s="751"/>
      <c r="G108" s="752"/>
      <c r="H108" s="752"/>
      <c r="I108" s="752"/>
      <c r="J108" s="752"/>
      <c r="K108" s="752"/>
      <c r="L108" s="752"/>
      <c r="M108" s="752"/>
      <c r="N108" s="752"/>
      <c r="O108" s="20"/>
      <c r="P108" s="20"/>
      <c r="Q108" s="406">
        <f>IF(ISBLANK(F108),"",MATCH(F108,EUconst_AnnexIActivities,0))</f>
      </c>
    </row>
    <row r="109" spans="2:17" ht="13.5" customHeight="1" thickBot="1">
      <c r="B109" s="789"/>
      <c r="C109" s="19"/>
      <c r="D109" s="105"/>
      <c r="E109" s="438">
        <f>E108+1</f>
        <v>5</v>
      </c>
      <c r="F109" s="869"/>
      <c r="G109" s="870"/>
      <c r="H109" s="870"/>
      <c r="I109" s="870"/>
      <c r="J109" s="870"/>
      <c r="K109" s="870"/>
      <c r="L109" s="870"/>
      <c r="M109" s="870"/>
      <c r="N109" s="870"/>
      <c r="O109" s="20"/>
      <c r="P109" s="20"/>
      <c r="Q109" s="407">
        <f>IF(ISBLANK(F109),"",MATCH(F109,EUconst_AnnexIActivities,0))</f>
      </c>
    </row>
    <row r="110" spans="2:16" ht="12.75" customHeight="1">
      <c r="B110" s="789"/>
      <c r="C110" s="19"/>
      <c r="D110" s="105"/>
      <c r="E110" s="103"/>
      <c r="F110" s="16"/>
      <c r="G110" s="16"/>
      <c r="H110" s="9"/>
      <c r="I110" s="9"/>
      <c r="J110" s="104"/>
      <c r="K110" s="104"/>
      <c r="L110" s="104"/>
      <c r="M110" s="20"/>
      <c r="N110" s="20"/>
      <c r="O110" s="20"/>
      <c r="P110" s="20"/>
    </row>
    <row r="111" spans="2:16" ht="12.75" customHeight="1">
      <c r="B111" s="789"/>
      <c r="C111" s="19"/>
      <c r="D111" s="102" t="s">
        <v>761</v>
      </c>
      <c r="E111" s="696" t="str">
        <f>Translations!$B$396</f>
        <v>Under which NACE code has your company reported value added for structural business statistics?</v>
      </c>
      <c r="F111" s="695"/>
      <c r="G111" s="695"/>
      <c r="H111" s="695"/>
      <c r="I111" s="695"/>
      <c r="J111" s="695"/>
      <c r="K111" s="695"/>
      <c r="L111" s="695"/>
      <c r="M111" s="695"/>
      <c r="N111" s="695"/>
      <c r="O111" s="20"/>
      <c r="P111" s="20"/>
    </row>
    <row r="112" spans="2:16" ht="12.75" customHeight="1">
      <c r="B112" s="789"/>
      <c r="C112" s="19"/>
      <c r="D112" s="16"/>
      <c r="E112" s="750" t="str">
        <f>Translations!$B$397</f>
        <v>If you are not sure about the values to enter here, please contact your relevant national statistics office.</v>
      </c>
      <c r="F112" s="695"/>
      <c r="G112" s="695"/>
      <c r="H112" s="695"/>
      <c r="I112" s="695"/>
      <c r="J112" s="695"/>
      <c r="K112" s="695"/>
      <c r="L112" s="695"/>
      <c r="M112" s="695"/>
      <c r="N112" s="695"/>
      <c r="O112" s="20"/>
      <c r="P112" s="20"/>
    </row>
    <row r="113" spans="2:16" ht="12.75" customHeight="1">
      <c r="B113" s="789"/>
      <c r="C113" s="19"/>
      <c r="D113" s="16"/>
      <c r="E113" s="750" t="str">
        <f>Translations!$B$398</f>
        <v>NACE rev 1.1 can be found here: </v>
      </c>
      <c r="F113" s="695"/>
      <c r="G113" s="695"/>
      <c r="H113" s="695"/>
      <c r="I113" s="695"/>
      <c r="J113" s="695"/>
      <c r="K113" s="695"/>
      <c r="L113" s="695"/>
      <c r="M113" s="695"/>
      <c r="N113" s="695"/>
      <c r="O113" s="20"/>
      <c r="P113" s="20"/>
    </row>
    <row r="114" spans="2:16" ht="12.75" customHeight="1">
      <c r="B114" s="789"/>
      <c r="C114" s="19"/>
      <c r="D114" s="16"/>
      <c r="E114" s="787" t="str">
        <f>Translations!$B$399</f>
        <v>http://ec.europa.eu/eurostat/ramon/nomenclatures/index.cfm?TargetUrl=LST_CLS_DLD&amp;StrNom=NACE_1_1&amp;StrLanguageCode=EN&amp;StrLayoutCode=HIERARCHIC</v>
      </c>
      <c r="F114" s="787"/>
      <c r="G114" s="787"/>
      <c r="H114" s="787"/>
      <c r="I114" s="787"/>
      <c r="J114" s="787"/>
      <c r="K114" s="787"/>
      <c r="L114" s="787"/>
      <c r="M114" s="787"/>
      <c r="N114" s="787"/>
      <c r="O114" s="20"/>
      <c r="P114" s="20"/>
    </row>
    <row r="115" spans="2:16" ht="12.75" customHeight="1">
      <c r="B115" s="789"/>
      <c r="C115" s="19"/>
      <c r="D115" s="16"/>
      <c r="E115" s="750" t="str">
        <f>Translations!$B$400</f>
        <v>NACE rev 2.0 can be found here: </v>
      </c>
      <c r="F115" s="695"/>
      <c r="G115" s="695"/>
      <c r="H115" s="695"/>
      <c r="I115" s="695"/>
      <c r="J115" s="695"/>
      <c r="K115" s="695"/>
      <c r="L115" s="695"/>
      <c r="M115" s="695"/>
      <c r="N115" s="695"/>
      <c r="O115" s="20"/>
      <c r="P115" s="20"/>
    </row>
    <row r="116" spans="2:16" ht="12.75" customHeight="1">
      <c r="B116" s="789"/>
      <c r="C116" s="19"/>
      <c r="D116" s="16"/>
      <c r="E116" s="787" t="str">
        <f>Translations!$B$401</f>
        <v>http://ec.europa.eu/eurostat/ramon/nomenclatures/index.cfm?TargetUrl=LST_CLS_DLD&amp;StrNom=NACE_REV2&amp;StrLanguageCode=EN&amp;StrLayoutCode=HIERARCHIC</v>
      </c>
      <c r="F116" s="787"/>
      <c r="G116" s="787"/>
      <c r="H116" s="787"/>
      <c r="I116" s="787"/>
      <c r="J116" s="787"/>
      <c r="K116" s="787"/>
      <c r="L116" s="787"/>
      <c r="M116" s="787"/>
      <c r="N116" s="787"/>
      <c r="O116" s="20"/>
      <c r="P116" s="20"/>
    </row>
    <row r="117" spans="2:16" ht="12.75" customHeight="1">
      <c r="B117" s="789"/>
      <c r="C117" s="19"/>
      <c r="D117" s="16"/>
      <c r="E117" s="748" t="str">
        <f>Translations!$B$402</f>
        <v>NACE codes shall be entered at 4-digit level, in the form "nnnn", i.e. without any dots or other delimiters inbetween.</v>
      </c>
      <c r="F117" s="749"/>
      <c r="G117" s="749"/>
      <c r="H117" s="749"/>
      <c r="I117" s="749"/>
      <c r="J117" s="749"/>
      <c r="K117" s="749"/>
      <c r="L117" s="749"/>
      <c r="M117" s="749"/>
      <c r="N117" s="749"/>
      <c r="O117" s="20"/>
      <c r="P117" s="20"/>
    </row>
    <row r="118" spans="2:16" ht="12.75" customHeight="1">
      <c r="B118" s="789"/>
      <c r="C118" s="19"/>
      <c r="D118" s="16"/>
      <c r="E118" s="750" t="str">
        <f>Translations!$B$403</f>
        <v>You will receive an error message if you do not enter exactly 4 digits.</v>
      </c>
      <c r="F118" s="695"/>
      <c r="G118" s="695"/>
      <c r="H118" s="695"/>
      <c r="I118" s="695"/>
      <c r="J118" s="695"/>
      <c r="K118" s="695"/>
      <c r="L118" s="695"/>
      <c r="M118" s="695"/>
      <c r="N118" s="695"/>
      <c r="O118" s="20"/>
      <c r="P118" s="20"/>
    </row>
    <row r="119" spans="2:16" ht="12.75" customHeight="1">
      <c r="B119" s="789"/>
      <c r="C119" s="19"/>
      <c r="D119" s="105"/>
      <c r="E119" s="192" t="s">
        <v>1521</v>
      </c>
      <c r="F119" s="727" t="str">
        <f>Translations!$B$404</f>
        <v>NACE code reported for the year 2007 using NACE rev 1.1 classification:</v>
      </c>
      <c r="G119" s="695"/>
      <c r="H119" s="695"/>
      <c r="I119" s="695"/>
      <c r="J119" s="695"/>
      <c r="K119" s="761"/>
      <c r="L119" s="201"/>
      <c r="M119" s="20"/>
      <c r="N119" s="20"/>
      <c r="O119" s="20"/>
      <c r="P119" s="20"/>
    </row>
    <row r="120" spans="2:16" ht="12.75" customHeight="1">
      <c r="B120" s="789"/>
      <c r="C120" s="19"/>
      <c r="D120" s="105"/>
      <c r="E120" s="192" t="s">
        <v>1522</v>
      </c>
      <c r="F120" s="727" t="str">
        <f>Translations!$B$405</f>
        <v>NACE code reported for the year 2010 using NACE rev 2 classification:</v>
      </c>
      <c r="G120" s="695"/>
      <c r="H120" s="695"/>
      <c r="I120" s="695"/>
      <c r="J120" s="695"/>
      <c r="K120" s="761"/>
      <c r="L120" s="201"/>
      <c r="M120" s="20"/>
      <c r="N120" s="20"/>
      <c r="O120" s="20"/>
      <c r="P120" s="20"/>
    </row>
    <row r="121" spans="2:16" ht="12.75" customHeight="1">
      <c r="B121" s="789"/>
      <c r="C121" s="19"/>
      <c r="D121" s="105"/>
      <c r="E121" s="103"/>
      <c r="F121" s="16"/>
      <c r="G121" s="16"/>
      <c r="H121" s="9"/>
      <c r="I121" s="9"/>
      <c r="J121" s="104"/>
      <c r="K121" s="104"/>
      <c r="L121" s="104"/>
      <c r="M121" s="20"/>
      <c r="N121" s="20"/>
      <c r="O121" s="20"/>
      <c r="P121" s="20"/>
    </row>
    <row r="122" spans="2:16" ht="12.75">
      <c r="B122" s="789"/>
      <c r="C122" s="20"/>
      <c r="D122" s="102" t="s">
        <v>1649</v>
      </c>
      <c r="E122" s="696" t="str">
        <f>Translations!$B$406</f>
        <v>Please provide the identification code of the installation in the EPRTR, if applicable:</v>
      </c>
      <c r="F122" s="695"/>
      <c r="G122" s="695"/>
      <c r="H122" s="695"/>
      <c r="I122" s="695"/>
      <c r="J122" s="695"/>
      <c r="K122" s="761"/>
      <c r="L122" s="797"/>
      <c r="M122" s="798"/>
      <c r="N122" s="799"/>
      <c r="O122" s="20"/>
      <c r="P122" s="20"/>
    </row>
    <row r="123" spans="2:16" ht="12.75">
      <c r="B123" s="789"/>
      <c r="C123" s="20"/>
      <c r="D123" s="16"/>
      <c r="E123" s="750" t="str">
        <f>Translations!$B$407</f>
        <v>The EPRTR is the European Pollutant Release and Transfer Register.</v>
      </c>
      <c r="F123" s="695"/>
      <c r="G123" s="695"/>
      <c r="H123" s="695"/>
      <c r="I123" s="695"/>
      <c r="J123" s="695"/>
      <c r="K123" s="695"/>
      <c r="L123" s="695"/>
      <c r="M123" s="695"/>
      <c r="N123" s="695"/>
      <c r="O123" s="20"/>
      <c r="P123" s="20"/>
    </row>
    <row r="124" spans="2:16" ht="12.75">
      <c r="B124" s="789"/>
      <c r="C124" s="20"/>
      <c r="D124" s="16"/>
      <c r="E124" s="750" t="str">
        <f>Translations!$B$408</f>
        <v>This information is useful for the competent authorities for consistency checks and alignment of environmental information sources.</v>
      </c>
      <c r="F124" s="695"/>
      <c r="G124" s="695"/>
      <c r="H124" s="695"/>
      <c r="I124" s="695"/>
      <c r="J124" s="695"/>
      <c r="K124" s="695"/>
      <c r="L124" s="695"/>
      <c r="M124" s="695"/>
      <c r="N124" s="695"/>
      <c r="O124" s="20"/>
      <c r="P124" s="20"/>
    </row>
    <row r="125" spans="2:17" ht="4.5" customHeight="1">
      <c r="B125" s="789"/>
      <c r="C125" s="5"/>
      <c r="D125" s="5"/>
      <c r="E125" s="5"/>
      <c r="F125" s="5"/>
      <c r="G125" s="5"/>
      <c r="H125" s="5"/>
      <c r="I125" s="5"/>
      <c r="J125" s="5"/>
      <c r="K125" s="5"/>
      <c r="L125" s="5"/>
      <c r="M125" s="9"/>
      <c r="N125" s="9"/>
      <c r="O125" s="9"/>
      <c r="P125" s="9"/>
      <c r="Q125" s="394"/>
    </row>
    <row r="126" spans="2:16" ht="12.75">
      <c r="B126" s="20"/>
      <c r="C126" s="20"/>
      <c r="D126" s="14" t="s">
        <v>413</v>
      </c>
      <c r="E126" s="696" t="str">
        <f>Translations!$B$422</f>
        <v>Installations that are operated only occasionally:</v>
      </c>
      <c r="F126" s="695"/>
      <c r="G126" s="695"/>
      <c r="H126" s="695"/>
      <c r="I126" s="695"/>
      <c r="J126" s="695"/>
      <c r="K126" s="695"/>
      <c r="L126" s="695"/>
      <c r="M126" s="695"/>
      <c r="N126" s="695"/>
      <c r="O126" s="20"/>
      <c r="P126" s="20"/>
    </row>
    <row r="127" spans="2:16" ht="12.75">
      <c r="B127" s="20"/>
      <c r="C127" s="20"/>
      <c r="D127" s="20"/>
      <c r="E127" s="750" t="str">
        <f>Translations!$B$423</f>
        <v>This includes in particular installations that are kept in reserve or on standby and installations operating on a seasonal schedule (Article 9(8) of the CIMs).</v>
      </c>
      <c r="F127" s="695"/>
      <c r="G127" s="695"/>
      <c r="H127" s="695"/>
      <c r="I127" s="695"/>
      <c r="J127" s="695"/>
      <c r="K127" s="695"/>
      <c r="L127" s="695"/>
      <c r="M127" s="695"/>
      <c r="N127" s="695"/>
      <c r="O127" s="20"/>
      <c r="P127" s="20"/>
    </row>
    <row r="128" spans="2:16" ht="12.75">
      <c r="B128" s="20"/>
      <c r="C128" s="20"/>
      <c r="D128" s="20"/>
      <c r="E128" s="750" t="str">
        <f>Translations!$B$424</f>
        <v>Conditions:</v>
      </c>
      <c r="F128" s="695"/>
      <c r="G128" s="695"/>
      <c r="H128" s="695"/>
      <c r="I128" s="695"/>
      <c r="J128" s="695"/>
      <c r="K128" s="695"/>
      <c r="L128" s="695"/>
      <c r="M128" s="695"/>
      <c r="N128" s="695"/>
      <c r="O128" s="20"/>
      <c r="P128" s="20"/>
    </row>
    <row r="129" spans="2:16" ht="25.5" customHeight="1">
      <c r="B129" s="20"/>
      <c r="C129" s="20"/>
      <c r="D129" s="20"/>
      <c r="E129" s="70" t="s">
        <v>978</v>
      </c>
      <c r="F129" s="759" t="str">
        <f>Translations!$B$425</f>
        <v>it is clearly demonstrated that the installation is used occasionally, in particular, operated regularly as standby or reserve capacity or operated regularly following a seasonal schedule;
</v>
      </c>
      <c r="G129" s="759"/>
      <c r="H129" s="759"/>
      <c r="I129" s="759"/>
      <c r="J129" s="759"/>
      <c r="K129" s="759"/>
      <c r="L129" s="759"/>
      <c r="M129" s="759"/>
      <c r="N129" s="759"/>
      <c r="O129" s="20"/>
      <c r="P129" s="20"/>
    </row>
    <row r="130" spans="2:16" ht="25.5" customHeight="1">
      <c r="B130" s="20"/>
      <c r="C130" s="20"/>
      <c r="D130" s="20"/>
      <c r="E130" s="70" t="s">
        <v>978</v>
      </c>
      <c r="F130" s="759" t="str">
        <f>Translations!$B$426</f>
        <v>the installation is covered by a greenhouse gas emissions permit and by all other relevant permits required in the national legal order of the Member State to operate the installation;</v>
      </c>
      <c r="G130" s="759"/>
      <c r="H130" s="759"/>
      <c r="I130" s="759"/>
      <c r="J130" s="759"/>
      <c r="K130" s="759"/>
      <c r="L130" s="759"/>
      <c r="M130" s="759"/>
      <c r="N130" s="759"/>
      <c r="O130" s="20"/>
      <c r="P130" s="20"/>
    </row>
    <row r="131" spans="2:16" ht="12.75">
      <c r="B131" s="20"/>
      <c r="C131" s="20"/>
      <c r="D131" s="20"/>
      <c r="E131" s="70" t="s">
        <v>978</v>
      </c>
      <c r="F131" s="759" t="str">
        <f>Translations!$B$427</f>
        <v>it is technically possible to start operation on short notice and maintenance is carried out on a regular basis.</v>
      </c>
      <c r="G131" s="759"/>
      <c r="H131" s="759"/>
      <c r="I131" s="759"/>
      <c r="J131" s="759"/>
      <c r="K131" s="759"/>
      <c r="L131" s="759"/>
      <c r="M131" s="759"/>
      <c r="N131" s="759"/>
      <c r="O131" s="20"/>
      <c r="P131" s="20"/>
    </row>
    <row r="132" spans="2:16" ht="12.75">
      <c r="B132" s="20"/>
      <c r="C132" s="20"/>
      <c r="D132" s="20"/>
      <c r="E132" s="696" t="str">
        <f>Translations!$B$428</f>
        <v>Please confirm here if your installation complies with these criteria:</v>
      </c>
      <c r="F132" s="695"/>
      <c r="G132" s="695"/>
      <c r="H132" s="695"/>
      <c r="I132" s="695"/>
      <c r="J132" s="695"/>
      <c r="K132" s="695"/>
      <c r="L132" s="871"/>
      <c r="M132" s="872"/>
      <c r="N132" s="433">
        <f>IF(CNTR_HasEntries_A_II,IF(L132="",EUconst_Incomplete,""),"")</f>
      </c>
      <c r="O132" s="20"/>
      <c r="P132" s="20"/>
    </row>
    <row r="133" spans="2:16" ht="12.75">
      <c r="B133" s="20"/>
      <c r="C133" s="20"/>
      <c r="D133" s="105"/>
      <c r="E133" s="103"/>
      <c r="F133" s="16"/>
      <c r="G133" s="16"/>
      <c r="H133" s="9"/>
      <c r="I133" s="9"/>
      <c r="J133" s="104"/>
      <c r="K133" s="104"/>
      <c r="L133" s="104"/>
      <c r="M133" s="20"/>
      <c r="N133" s="20"/>
      <c r="O133" s="20"/>
      <c r="P133" s="20"/>
    </row>
    <row r="134" spans="2:16" ht="12.75">
      <c r="B134" s="20"/>
      <c r="C134" s="20"/>
      <c r="D134" s="20"/>
      <c r="E134" s="20"/>
      <c r="F134" s="20"/>
      <c r="G134" s="20"/>
      <c r="H134" s="20"/>
      <c r="I134" s="20"/>
      <c r="J134" s="20"/>
      <c r="K134" s="20"/>
      <c r="L134" s="20"/>
      <c r="M134" s="20"/>
      <c r="N134" s="20"/>
      <c r="O134" s="20"/>
      <c r="P134" s="20"/>
    </row>
    <row r="135" spans="1:26" s="616" customFormat="1" ht="18" customHeight="1">
      <c r="A135" s="4"/>
      <c r="B135" s="215"/>
      <c r="C135" s="367" t="s">
        <v>414</v>
      </c>
      <c r="D135" s="384" t="str">
        <f>Translations!$B$442</f>
        <v>List of technical connections</v>
      </c>
      <c r="E135" s="384"/>
      <c r="F135" s="384"/>
      <c r="G135" s="384"/>
      <c r="H135" s="384"/>
      <c r="I135" s="384"/>
      <c r="J135" s="384"/>
      <c r="K135" s="384"/>
      <c r="L135" s="384"/>
      <c r="M135" s="384"/>
      <c r="N135" s="384"/>
      <c r="O135" s="216"/>
      <c r="P135" s="216"/>
      <c r="Q135" s="419"/>
      <c r="R135" s="419"/>
      <c r="S135" s="419"/>
      <c r="T135" s="419"/>
      <c r="U135" s="419"/>
      <c r="V135" s="419"/>
      <c r="W135" s="419"/>
      <c r="X135" s="419"/>
      <c r="Y135" s="419"/>
      <c r="Z135" s="419"/>
    </row>
    <row r="136" spans="2:17" ht="4.5" customHeight="1">
      <c r="B136" s="5"/>
      <c r="C136" s="5"/>
      <c r="D136" s="5"/>
      <c r="E136" s="5"/>
      <c r="F136" s="5"/>
      <c r="G136" s="5"/>
      <c r="H136" s="5"/>
      <c r="I136" s="5"/>
      <c r="J136" s="5"/>
      <c r="K136" s="5"/>
      <c r="L136" s="5"/>
      <c r="M136" s="9"/>
      <c r="N136" s="9"/>
      <c r="O136" s="9"/>
      <c r="P136" s="9"/>
      <c r="Q136" s="394"/>
    </row>
    <row r="137" spans="2:16" ht="12.75">
      <c r="B137" s="20"/>
      <c r="C137" s="20"/>
      <c r="D137" s="102" t="s">
        <v>1680</v>
      </c>
      <c r="E137" s="696" t="str">
        <f>Translations!$B$443</f>
        <v>Please enter here the information relevant for identifying technical connections to your installation:</v>
      </c>
      <c r="F137" s="695"/>
      <c r="G137" s="695"/>
      <c r="H137" s="695"/>
      <c r="I137" s="695"/>
      <c r="J137" s="695"/>
      <c r="K137" s="695"/>
      <c r="L137" s="695"/>
      <c r="M137" s="695"/>
      <c r="N137" s="695"/>
      <c r="O137" s="20"/>
      <c r="P137" s="20"/>
    </row>
    <row r="138" spans="2:16" ht="12.75">
      <c r="B138" s="20"/>
      <c r="C138" s="20"/>
      <c r="D138" s="111"/>
      <c r="E138" s="759" t="str">
        <f>Translations!$B$444</f>
        <v>This information is needed by the competent authority for ensuring consistency of the data provided, and for avoiding double counting of allocation data.</v>
      </c>
      <c r="F138" s="674"/>
      <c r="G138" s="674"/>
      <c r="H138" s="674"/>
      <c r="I138" s="674"/>
      <c r="J138" s="674"/>
      <c r="K138" s="674"/>
      <c r="L138" s="674"/>
      <c r="M138" s="674"/>
      <c r="N138" s="674"/>
      <c r="O138" s="20"/>
      <c r="P138" s="20"/>
    </row>
    <row r="139" spans="2:16" ht="12.75">
      <c r="B139" s="20"/>
      <c r="C139" s="20"/>
      <c r="D139" s="111"/>
      <c r="E139" s="759" t="str">
        <f>Translations!$B$445</f>
        <v>Only those cases are relevant, where either measurable heat, waste gases or CO2 for the purpose of CCS activities cross the boundaries of the installation.</v>
      </c>
      <c r="F139" s="674"/>
      <c r="G139" s="674"/>
      <c r="H139" s="674"/>
      <c r="I139" s="674"/>
      <c r="J139" s="674"/>
      <c r="K139" s="674"/>
      <c r="L139" s="674"/>
      <c r="M139" s="674"/>
      <c r="N139" s="674"/>
      <c r="O139" s="20"/>
      <c r="P139" s="20"/>
    </row>
    <row r="140" spans="2:16" ht="12.75">
      <c r="B140" s="20"/>
      <c r="C140" s="20"/>
      <c r="D140" s="111"/>
      <c r="E140" s="759" t="str">
        <f>Translations!$B$446</f>
        <v>"Import" here means that something enters the boundaries of the installation to which this report refers, "export" means something leaving those boundaries.</v>
      </c>
      <c r="F140" s="674"/>
      <c r="G140" s="674"/>
      <c r="H140" s="674"/>
      <c r="I140" s="674"/>
      <c r="J140" s="674"/>
      <c r="K140" s="674"/>
      <c r="L140" s="674"/>
      <c r="M140" s="674"/>
      <c r="N140" s="674"/>
      <c r="O140" s="20"/>
      <c r="P140" s="20"/>
    </row>
    <row r="141" spans="2:16" ht="12.75">
      <c r="B141" s="20"/>
      <c r="C141" s="20"/>
      <c r="D141" s="111"/>
      <c r="E141" s="759" t="str">
        <f>Translations!$B$447</f>
        <v>Material and/or energy flows between sub-installations are not relevant, with the exception of heat stemming from nitric acid production.</v>
      </c>
      <c r="F141" s="674"/>
      <c r="G141" s="674"/>
      <c r="H141" s="674"/>
      <c r="I141" s="674"/>
      <c r="J141" s="674"/>
      <c r="K141" s="674"/>
      <c r="L141" s="674"/>
      <c r="M141" s="674"/>
      <c r="N141" s="674"/>
      <c r="O141" s="20"/>
      <c r="P141" s="20"/>
    </row>
    <row r="142" spans="2:16" ht="12.75">
      <c r="B142" s="20"/>
      <c r="C142" s="20"/>
      <c r="D142" s="111"/>
      <c r="E142" s="759" t="str">
        <f>Translations!$B$448</f>
        <v>In the column "Type of entity" the following options can be selected:</v>
      </c>
      <c r="F142" s="674"/>
      <c r="G142" s="674"/>
      <c r="H142" s="674"/>
      <c r="I142" s="674"/>
      <c r="J142" s="674"/>
      <c r="K142" s="674"/>
      <c r="L142" s="674"/>
      <c r="M142" s="674"/>
      <c r="N142" s="674"/>
      <c r="O142" s="20"/>
      <c r="P142" s="20"/>
    </row>
    <row r="143" spans="2:16" ht="12.75">
      <c r="B143" s="20"/>
      <c r="C143" s="20"/>
      <c r="D143" s="111"/>
      <c r="E143" s="70" t="s">
        <v>978</v>
      </c>
      <c r="F143" s="750" t="str">
        <f>Translations!$B$20</f>
        <v>Installation covered by ETS</v>
      </c>
      <c r="G143" s="695"/>
      <c r="H143" s="695"/>
      <c r="I143" s="695"/>
      <c r="J143" s="695"/>
      <c r="K143" s="695"/>
      <c r="L143" s="695"/>
      <c r="M143" s="695"/>
      <c r="N143" s="695"/>
      <c r="O143" s="20"/>
      <c r="P143" s="20"/>
    </row>
    <row r="144" spans="2:16" ht="12.75">
      <c r="B144" s="20"/>
      <c r="C144" s="20"/>
      <c r="D144" s="111"/>
      <c r="E144" s="70" t="s">
        <v>978</v>
      </c>
      <c r="F144" s="750" t="str">
        <f>Translations!$B$21</f>
        <v>Installation outside ETS</v>
      </c>
      <c r="G144" s="695"/>
      <c r="H144" s="695"/>
      <c r="I144" s="695"/>
      <c r="J144" s="695"/>
      <c r="K144" s="695"/>
      <c r="L144" s="695"/>
      <c r="M144" s="695"/>
      <c r="N144" s="695"/>
      <c r="O144" s="20"/>
      <c r="P144" s="20"/>
    </row>
    <row r="145" spans="2:16" ht="12.75">
      <c r="B145" s="20"/>
      <c r="C145" s="20"/>
      <c r="D145" s="111"/>
      <c r="E145" s="70" t="s">
        <v>978</v>
      </c>
      <c r="F145" s="750" t="str">
        <f>Translations!$B$22</f>
        <v>Installation producing Nitric Acid</v>
      </c>
      <c r="G145" s="695"/>
      <c r="H145" s="695"/>
      <c r="I145" s="695"/>
      <c r="J145" s="695"/>
      <c r="K145" s="695"/>
      <c r="L145" s="695"/>
      <c r="M145" s="695"/>
      <c r="N145" s="695"/>
      <c r="O145" s="20"/>
      <c r="P145" s="20"/>
    </row>
    <row r="146" spans="2:16" ht="12.75">
      <c r="B146" s="20"/>
      <c r="C146" s="20"/>
      <c r="D146" s="111"/>
      <c r="E146" s="70" t="s">
        <v>978</v>
      </c>
      <c r="F146" s="750" t="str">
        <f>Translations!$B$23</f>
        <v>Heat distribution network</v>
      </c>
      <c r="G146" s="695"/>
      <c r="H146" s="695"/>
      <c r="I146" s="695"/>
      <c r="J146" s="695"/>
      <c r="K146" s="695"/>
      <c r="L146" s="695"/>
      <c r="M146" s="695"/>
      <c r="N146" s="695"/>
      <c r="O146" s="20"/>
      <c r="P146" s="20"/>
    </row>
    <row r="147" spans="2:16" ht="12.75">
      <c r="B147" s="20"/>
      <c r="C147" s="20"/>
      <c r="D147" s="111"/>
      <c r="E147" s="758" t="str">
        <f>Translations!$B$449</f>
        <v>Special case: Nitric acid production:</v>
      </c>
      <c r="F147" s="679"/>
      <c r="G147" s="679"/>
      <c r="H147" s="679"/>
      <c r="I147" s="679"/>
      <c r="J147" s="679"/>
      <c r="K147" s="679"/>
      <c r="L147" s="679"/>
      <c r="M147" s="679"/>
      <c r="N147" s="679"/>
      <c r="O147" s="20"/>
      <c r="P147" s="20"/>
    </row>
    <row r="148" spans="2:16" ht="12.75">
      <c r="B148" s="20"/>
      <c r="C148" s="20"/>
      <c r="D148" s="111"/>
      <c r="E148" s="70" t="s">
        <v>978</v>
      </c>
      <c r="F148" s="750" t="str">
        <f>Translations!$B$450</f>
        <v>Please select this option for identifying that your installation uses heat from nitric acid production.</v>
      </c>
      <c r="G148" s="695"/>
      <c r="H148" s="695"/>
      <c r="I148" s="695"/>
      <c r="J148" s="695"/>
      <c r="K148" s="695"/>
      <c r="L148" s="695"/>
      <c r="M148" s="695"/>
      <c r="N148" s="695"/>
      <c r="O148" s="20"/>
      <c r="P148" s="20"/>
    </row>
    <row r="149" spans="2:16" ht="12.75">
      <c r="B149" s="20"/>
      <c r="C149" s="20"/>
      <c r="D149" s="111"/>
      <c r="E149" s="70" t="s">
        <v>978</v>
      </c>
      <c r="F149" s="750" t="str">
        <f>Translations!$B$451</f>
        <v>Please list this fact even if the nitric acid production is part of your own installation, not only if your installation is connected to such installation.</v>
      </c>
      <c r="G149" s="695"/>
      <c r="H149" s="695"/>
      <c r="I149" s="695"/>
      <c r="J149" s="695"/>
      <c r="K149" s="695"/>
      <c r="L149" s="695"/>
      <c r="M149" s="695"/>
      <c r="N149" s="695"/>
      <c r="O149" s="20"/>
      <c r="P149" s="20"/>
    </row>
    <row r="150" spans="2:16" ht="12.75">
      <c r="B150" s="20"/>
      <c r="C150" s="20"/>
      <c r="D150" s="111"/>
      <c r="E150" s="70" t="s">
        <v>978</v>
      </c>
      <c r="F150" s="750" t="str">
        <f>Translations!$B$452</f>
        <v>This information is relevant for the heat balance (sheet "E_EnergyFlows", section II)</v>
      </c>
      <c r="G150" s="695"/>
      <c r="H150" s="695"/>
      <c r="I150" s="695"/>
      <c r="J150" s="695"/>
      <c r="K150" s="695"/>
      <c r="L150" s="695"/>
      <c r="M150" s="695"/>
      <c r="N150" s="695"/>
      <c r="O150" s="20"/>
      <c r="P150" s="20"/>
    </row>
    <row r="151" spans="2:16" ht="12.75">
      <c r="B151" s="20"/>
      <c r="C151" s="20"/>
      <c r="D151" s="111"/>
      <c r="E151" s="759" t="str">
        <f>Translations!$B$453</f>
        <v>Type of connection options are:</v>
      </c>
      <c r="F151" s="674"/>
      <c r="G151" s="674"/>
      <c r="H151" s="674"/>
      <c r="I151" s="674"/>
      <c r="J151" s="674"/>
      <c r="K151" s="674"/>
      <c r="L151" s="674"/>
      <c r="M151" s="674"/>
      <c r="N151" s="674"/>
      <c r="O151" s="20"/>
      <c r="P151" s="20"/>
    </row>
    <row r="152" spans="2:16" ht="12.75">
      <c r="B152" s="20"/>
      <c r="C152" s="20"/>
      <c r="D152" s="111"/>
      <c r="E152" s="70" t="s">
        <v>978</v>
      </c>
      <c r="F152" s="750" t="str">
        <f>Translations!$B$24</f>
        <v>Measurable heat</v>
      </c>
      <c r="G152" s="695"/>
      <c r="H152" s="695"/>
      <c r="I152" s="695"/>
      <c r="J152" s="695"/>
      <c r="K152" s="695"/>
      <c r="L152" s="695"/>
      <c r="M152" s="695"/>
      <c r="N152" s="695"/>
      <c r="O152" s="20"/>
      <c r="P152" s="20"/>
    </row>
    <row r="153" spans="2:16" ht="12.75">
      <c r="B153" s="20"/>
      <c r="C153" s="20"/>
      <c r="D153" s="111"/>
      <c r="E153" s="70" t="s">
        <v>978</v>
      </c>
      <c r="F153" s="750" t="str">
        <f>Translations!$B$25</f>
        <v>Waste gas</v>
      </c>
      <c r="G153" s="695"/>
      <c r="H153" s="695"/>
      <c r="I153" s="695"/>
      <c r="J153" s="695"/>
      <c r="K153" s="695"/>
      <c r="L153" s="695"/>
      <c r="M153" s="695"/>
      <c r="N153" s="695"/>
      <c r="O153" s="20"/>
      <c r="P153" s="20"/>
    </row>
    <row r="154" spans="2:16" ht="12.75">
      <c r="B154" s="20"/>
      <c r="C154" s="20"/>
      <c r="D154" s="111"/>
      <c r="E154" s="70" t="s">
        <v>978</v>
      </c>
      <c r="F154" s="750" t="str">
        <f>Translations!$B$26</f>
        <v>transferred CO2 (CCS)</v>
      </c>
      <c r="G154" s="695"/>
      <c r="H154" s="695"/>
      <c r="I154" s="695"/>
      <c r="J154" s="695"/>
      <c r="K154" s="695"/>
      <c r="L154" s="695"/>
      <c r="M154" s="695"/>
      <c r="N154" s="695"/>
      <c r="O154" s="20"/>
      <c r="P154" s="20"/>
    </row>
    <row r="155" spans="2:16" ht="12.75">
      <c r="B155" s="20"/>
      <c r="C155" s="20"/>
      <c r="D155" s="111"/>
      <c r="E155" s="759" t="str">
        <f>Translations!$B$454</f>
        <v>Flow direction options are (perspective of the installation to which this report refers):</v>
      </c>
      <c r="F155" s="674"/>
      <c r="G155" s="674"/>
      <c r="H155" s="674"/>
      <c r="I155" s="674"/>
      <c r="J155" s="674"/>
      <c r="K155" s="674"/>
      <c r="L155" s="674"/>
      <c r="M155" s="674"/>
      <c r="N155" s="674"/>
      <c r="O155" s="20"/>
      <c r="P155" s="20"/>
    </row>
    <row r="156" spans="2:16" ht="12.75">
      <c r="B156" s="20"/>
      <c r="C156" s="20"/>
      <c r="D156" s="111"/>
      <c r="E156" s="70" t="s">
        <v>978</v>
      </c>
      <c r="F156" s="750" t="str">
        <f>Translations!$B$455</f>
        <v>Import (to this installation)</v>
      </c>
      <c r="G156" s="695"/>
      <c r="H156" s="695"/>
      <c r="I156" s="695"/>
      <c r="J156" s="695"/>
      <c r="K156" s="695"/>
      <c r="L156" s="695"/>
      <c r="M156" s="695"/>
      <c r="N156" s="695"/>
      <c r="O156" s="20"/>
      <c r="P156" s="20"/>
    </row>
    <row r="157" spans="2:16" ht="12.75">
      <c r="B157" s="20"/>
      <c r="C157" s="20"/>
      <c r="D157" s="111"/>
      <c r="E157" s="70" t="s">
        <v>978</v>
      </c>
      <c r="F157" s="750" t="str">
        <f>Translations!$B$456</f>
        <v>Export (from this installation)</v>
      </c>
      <c r="G157" s="695"/>
      <c r="H157" s="695"/>
      <c r="I157" s="695"/>
      <c r="J157" s="695"/>
      <c r="K157" s="695"/>
      <c r="L157" s="695"/>
      <c r="M157" s="695"/>
      <c r="N157" s="695"/>
      <c r="O157" s="20"/>
      <c r="P157" s="20"/>
    </row>
    <row r="158" spans="2:17" ht="4.5" customHeight="1">
      <c r="B158" s="5"/>
      <c r="C158" s="5"/>
      <c r="D158" s="41"/>
      <c r="E158" s="5"/>
      <c r="F158" s="5"/>
      <c r="G158" s="5"/>
      <c r="H158" s="5"/>
      <c r="I158" s="5"/>
      <c r="J158" s="5"/>
      <c r="K158" s="5"/>
      <c r="L158" s="5"/>
      <c r="M158" s="9"/>
      <c r="N158" s="9"/>
      <c r="O158" s="9"/>
      <c r="P158" s="9"/>
      <c r="Q158" s="394"/>
    </row>
    <row r="159" spans="2:19" ht="13.5" thickBot="1">
      <c r="B159" s="20"/>
      <c r="C159" s="20"/>
      <c r="D159" s="32"/>
      <c r="E159" s="207" t="str">
        <f>Translations!$B$432</f>
        <v>No.</v>
      </c>
      <c r="F159" s="792" t="str">
        <f>Translations!$B$457</f>
        <v>Name of installation or entity</v>
      </c>
      <c r="G159" s="793"/>
      <c r="H159" s="794"/>
      <c r="I159" s="792" t="str">
        <f>Translations!$B$458</f>
        <v>Type of entity</v>
      </c>
      <c r="J159" s="794"/>
      <c r="K159" s="792" t="str">
        <f>Translations!$B$459</f>
        <v>Type of connection</v>
      </c>
      <c r="L159" s="794"/>
      <c r="M159" s="792" t="str">
        <f>Translations!$B$460</f>
        <v>Flow direction</v>
      </c>
      <c r="N159" s="793"/>
      <c r="O159" s="20"/>
      <c r="P159" s="20"/>
      <c r="Q159" s="401"/>
      <c r="R159" s="401" t="s">
        <v>1807</v>
      </c>
      <c r="S159" s="411" t="s">
        <v>428</v>
      </c>
    </row>
    <row r="160" spans="2:19" ht="12.75">
      <c r="B160" s="20"/>
      <c r="C160" s="20"/>
      <c r="D160" s="32"/>
      <c r="E160" s="33">
        <v>1</v>
      </c>
      <c r="F160" s="837"/>
      <c r="G160" s="838"/>
      <c r="H160" s="839"/>
      <c r="I160" s="820"/>
      <c r="J160" s="821"/>
      <c r="K160" s="820"/>
      <c r="L160" s="839"/>
      <c r="M160" s="818"/>
      <c r="N160" s="819"/>
      <c r="O160" s="20"/>
      <c r="P160" s="20"/>
      <c r="Q160" s="401"/>
      <c r="R160" s="408">
        <f>IF(NOT(ISBLANK(F160)),COUNTA($F$160:$F160),"")</f>
      </c>
      <c r="S160" s="408">
        <f>IF(ISBLANK(I160),"",OR(MATCH(I160,EUconst_ConnectedEntityTypes,0)=1,MATCH(I160,EUconst_ConnectedEntityTypes,0)=3))</f>
      </c>
    </row>
    <row r="161" spans="2:19" ht="12.75">
      <c r="B161" s="20"/>
      <c r="C161" s="20"/>
      <c r="D161" s="32"/>
      <c r="E161" s="34">
        <f>E160+1</f>
        <v>2</v>
      </c>
      <c r="F161" s="802"/>
      <c r="G161" s="810"/>
      <c r="H161" s="811"/>
      <c r="I161" s="802"/>
      <c r="J161" s="803"/>
      <c r="K161" s="802"/>
      <c r="L161" s="811"/>
      <c r="M161" s="795"/>
      <c r="N161" s="796"/>
      <c r="O161" s="20"/>
      <c r="P161" s="20"/>
      <c r="Q161" s="401"/>
      <c r="R161" s="409">
        <f>IF(NOT(ISBLANK(F161)),COUNTA($F$160:$F161),"")</f>
      </c>
      <c r="S161" s="409">
        <f aca="true" t="shared" si="0" ref="S161:S169">IF(ISBLANK(I161),"",OR(MATCH(I161,EUconst_ConnectedEntityTypes,0)=1,MATCH(I161,EUconst_ConnectedEntityTypes,0)=3))</f>
      </c>
    </row>
    <row r="162" spans="2:19" ht="12.75">
      <c r="B162" s="20"/>
      <c r="C162" s="20"/>
      <c r="D162" s="32"/>
      <c r="E162" s="34">
        <f aca="true" t="shared" si="1" ref="E162:E169">E161+1</f>
        <v>3</v>
      </c>
      <c r="F162" s="802"/>
      <c r="G162" s="810"/>
      <c r="H162" s="811"/>
      <c r="I162" s="802"/>
      <c r="J162" s="803"/>
      <c r="K162" s="802"/>
      <c r="L162" s="811"/>
      <c r="M162" s="795"/>
      <c r="N162" s="796"/>
      <c r="O162" s="20"/>
      <c r="P162" s="20"/>
      <c r="Q162" s="401"/>
      <c r="R162" s="409">
        <f>IF(NOT(ISBLANK(F162)),COUNTA($F$160:$F162),"")</f>
      </c>
      <c r="S162" s="409">
        <f t="shared" si="0"/>
      </c>
    </row>
    <row r="163" spans="2:19" ht="12.75">
      <c r="B163" s="20"/>
      <c r="C163" s="20"/>
      <c r="D163" s="32"/>
      <c r="E163" s="34">
        <f t="shared" si="1"/>
        <v>4</v>
      </c>
      <c r="F163" s="802"/>
      <c r="G163" s="810"/>
      <c r="H163" s="811"/>
      <c r="I163" s="802"/>
      <c r="J163" s="803"/>
      <c r="K163" s="802"/>
      <c r="L163" s="811"/>
      <c r="M163" s="795"/>
      <c r="N163" s="796"/>
      <c r="O163" s="20"/>
      <c r="P163" s="20"/>
      <c r="Q163" s="401"/>
      <c r="R163" s="409">
        <f>IF(NOT(ISBLANK(F163)),COUNTA($F$160:$F163),"")</f>
      </c>
      <c r="S163" s="409">
        <f t="shared" si="0"/>
      </c>
    </row>
    <row r="164" spans="2:19" ht="12.75">
      <c r="B164" s="20"/>
      <c r="C164" s="20"/>
      <c r="D164" s="32"/>
      <c r="E164" s="34">
        <f t="shared" si="1"/>
        <v>5</v>
      </c>
      <c r="F164" s="802"/>
      <c r="G164" s="810"/>
      <c r="H164" s="811"/>
      <c r="I164" s="802"/>
      <c r="J164" s="803"/>
      <c r="K164" s="802"/>
      <c r="L164" s="811"/>
      <c r="M164" s="795"/>
      <c r="N164" s="796"/>
      <c r="O164" s="20"/>
      <c r="P164" s="20"/>
      <c r="Q164" s="401"/>
      <c r="R164" s="409">
        <f>IF(NOT(ISBLANK(F164)),COUNTA($F$160:$F164),"")</f>
      </c>
      <c r="S164" s="409">
        <f t="shared" si="0"/>
      </c>
    </row>
    <row r="165" spans="2:19" ht="12.75">
      <c r="B165" s="20"/>
      <c r="C165" s="20"/>
      <c r="D165" s="32"/>
      <c r="E165" s="34">
        <f t="shared" si="1"/>
        <v>6</v>
      </c>
      <c r="F165" s="802"/>
      <c r="G165" s="810"/>
      <c r="H165" s="811"/>
      <c r="I165" s="802"/>
      <c r="J165" s="803"/>
      <c r="K165" s="802"/>
      <c r="L165" s="811"/>
      <c r="M165" s="795"/>
      <c r="N165" s="796"/>
      <c r="O165" s="20"/>
      <c r="P165" s="20"/>
      <c r="Q165" s="401"/>
      <c r="R165" s="409">
        <f>IF(NOT(ISBLANK(F165)),COUNTA($F$160:$F165),"")</f>
      </c>
      <c r="S165" s="409">
        <f t="shared" si="0"/>
      </c>
    </row>
    <row r="166" spans="2:19" ht="12.75">
      <c r="B166" s="20"/>
      <c r="C166" s="20"/>
      <c r="D166" s="32"/>
      <c r="E166" s="34">
        <f t="shared" si="1"/>
        <v>7</v>
      </c>
      <c r="F166" s="802"/>
      <c r="G166" s="810"/>
      <c r="H166" s="811"/>
      <c r="I166" s="802"/>
      <c r="J166" s="803"/>
      <c r="K166" s="802"/>
      <c r="L166" s="811"/>
      <c r="M166" s="795"/>
      <c r="N166" s="796"/>
      <c r="O166" s="20"/>
      <c r="P166" s="20"/>
      <c r="Q166" s="401"/>
      <c r="R166" s="409">
        <f>IF(NOT(ISBLANK(F166)),COUNTA($F$160:$F166),"")</f>
      </c>
      <c r="S166" s="409">
        <f t="shared" si="0"/>
      </c>
    </row>
    <row r="167" spans="2:19" ht="12.75">
      <c r="B167" s="20"/>
      <c r="C167" s="20"/>
      <c r="D167" s="32"/>
      <c r="E167" s="34">
        <f t="shared" si="1"/>
        <v>8</v>
      </c>
      <c r="F167" s="802"/>
      <c r="G167" s="810"/>
      <c r="H167" s="811"/>
      <c r="I167" s="802"/>
      <c r="J167" s="803"/>
      <c r="K167" s="802"/>
      <c r="L167" s="811"/>
      <c r="M167" s="795"/>
      <c r="N167" s="796"/>
      <c r="O167" s="20"/>
      <c r="P167" s="20"/>
      <c r="Q167" s="401"/>
      <c r="R167" s="409">
        <f>IF(NOT(ISBLANK(F167)),COUNTA($F$160:$F167),"")</f>
      </c>
      <c r="S167" s="409">
        <f t="shared" si="0"/>
      </c>
    </row>
    <row r="168" spans="2:19" ht="12.75">
      <c r="B168" s="20"/>
      <c r="C168" s="20"/>
      <c r="D168" s="32"/>
      <c r="E168" s="34">
        <f t="shared" si="1"/>
        <v>9</v>
      </c>
      <c r="F168" s="802"/>
      <c r="G168" s="810"/>
      <c r="H168" s="811"/>
      <c r="I168" s="802"/>
      <c r="J168" s="803"/>
      <c r="K168" s="802"/>
      <c r="L168" s="811"/>
      <c r="M168" s="795"/>
      <c r="N168" s="796"/>
      <c r="O168" s="20"/>
      <c r="P168" s="20"/>
      <c r="Q168" s="401"/>
      <c r="R168" s="409">
        <f>IF(NOT(ISBLANK(F168)),COUNTA($F$160:$F168),"")</f>
      </c>
      <c r="S168" s="409">
        <f t="shared" si="0"/>
      </c>
    </row>
    <row r="169" spans="2:19" ht="13.5" thickBot="1">
      <c r="B169" s="20"/>
      <c r="C169" s="20"/>
      <c r="D169" s="32"/>
      <c r="E169" s="35">
        <f t="shared" si="1"/>
        <v>10</v>
      </c>
      <c r="F169" s="824"/>
      <c r="G169" s="825"/>
      <c r="H169" s="826"/>
      <c r="I169" s="824"/>
      <c r="J169" s="827"/>
      <c r="K169" s="824"/>
      <c r="L169" s="826"/>
      <c r="M169" s="828"/>
      <c r="N169" s="829"/>
      <c r="O169" s="20"/>
      <c r="P169" s="20"/>
      <c r="Q169" s="401"/>
      <c r="R169" s="410">
        <f>IF(NOT(ISBLANK(F169)),COUNTA($F$160:$F169),"")</f>
      </c>
      <c r="S169" s="410">
        <f t="shared" si="0"/>
      </c>
    </row>
    <row r="170" spans="2:16" ht="12.75">
      <c r="B170" s="20"/>
      <c r="C170" s="20"/>
      <c r="D170" s="32"/>
      <c r="E170" s="27"/>
      <c r="F170" s="27"/>
      <c r="G170" s="27"/>
      <c r="H170" s="27"/>
      <c r="I170" s="27"/>
      <c r="J170" s="27"/>
      <c r="K170" s="27"/>
      <c r="L170" s="27"/>
      <c r="M170" s="27"/>
      <c r="N170" s="27"/>
      <c r="O170" s="20"/>
      <c r="P170" s="20"/>
    </row>
    <row r="171" spans="2:16" ht="12.75">
      <c r="B171" s="20"/>
      <c r="C171" s="20"/>
      <c r="D171" s="102" t="s">
        <v>761</v>
      </c>
      <c r="E171" s="696" t="str">
        <f>Translations!$B$461</f>
        <v>Please enter here further information regarding those connected installations, if relevant:</v>
      </c>
      <c r="F171" s="695"/>
      <c r="G171" s="695"/>
      <c r="H171" s="695"/>
      <c r="I171" s="695"/>
      <c r="J171" s="695"/>
      <c r="K171" s="695"/>
      <c r="L171" s="695"/>
      <c r="M171" s="695"/>
      <c r="N171" s="695"/>
      <c r="O171" s="20"/>
      <c r="P171" s="20"/>
    </row>
    <row r="172" spans="2:16" ht="12.75">
      <c r="B172" s="20"/>
      <c r="C172" s="20"/>
      <c r="D172" s="16"/>
      <c r="E172" s="750" t="str">
        <f>Translations!$B$1162</f>
        <v>Installation ID is mandatory if the connected installation is covered by the EU ETS.</v>
      </c>
      <c r="F172" s="695"/>
      <c r="G172" s="695"/>
      <c r="H172" s="695"/>
      <c r="I172" s="695"/>
      <c r="J172" s="695"/>
      <c r="K172" s="695"/>
      <c r="L172" s="695"/>
      <c r="M172" s="695"/>
      <c r="N172" s="695"/>
      <c r="O172" s="20"/>
      <c r="P172" s="20"/>
    </row>
    <row r="173" spans="2:16" ht="12.75">
      <c r="B173" s="20"/>
      <c r="C173" s="20"/>
      <c r="D173" s="16"/>
      <c r="E173" s="750" t="str">
        <f>Translations!$B$462</f>
        <v>Name of contact person and contact details of EU ETS installations are optional, unless made mandatory by your competent authority.</v>
      </c>
      <c r="F173" s="695"/>
      <c r="G173" s="695"/>
      <c r="H173" s="695"/>
      <c r="I173" s="695"/>
      <c r="J173" s="695"/>
      <c r="K173" s="695"/>
      <c r="L173" s="695"/>
      <c r="M173" s="695"/>
      <c r="N173" s="695"/>
      <c r="O173" s="20"/>
      <c r="P173" s="20"/>
    </row>
    <row r="174" spans="2:16" ht="12.75">
      <c r="B174" s="20"/>
      <c r="C174" s="20"/>
      <c r="D174" s="16"/>
      <c r="E174" s="750" t="str">
        <f>Translations!$B$463</f>
        <v>For entities not covered by the EU ETS, contact details are mandatory, but CITL ID is not required.</v>
      </c>
      <c r="F174" s="695"/>
      <c r="G174" s="695"/>
      <c r="H174" s="695"/>
      <c r="I174" s="695"/>
      <c r="J174" s="695"/>
      <c r="K174" s="695"/>
      <c r="L174" s="695"/>
      <c r="M174" s="695"/>
      <c r="N174" s="695"/>
      <c r="O174" s="20"/>
      <c r="P174" s="20"/>
    </row>
    <row r="175" spans="2:16" ht="12.75">
      <c r="B175" s="20"/>
      <c r="C175" s="20"/>
      <c r="D175" s="20"/>
      <c r="E175" s="209" t="str">
        <f>Translations!$B$432</f>
        <v>No.</v>
      </c>
      <c r="F175" s="792" t="str">
        <f>Translations!$B$464</f>
        <v>Installation ID used in CITL</v>
      </c>
      <c r="G175" s="794"/>
      <c r="H175" s="792" t="str">
        <f>Translations!$B$465</f>
        <v>Name of contact person</v>
      </c>
      <c r="I175" s="794"/>
      <c r="J175" s="836" t="str">
        <f>Translations!$B$466</f>
        <v>email address</v>
      </c>
      <c r="K175" s="793"/>
      <c r="L175" s="794"/>
      <c r="M175" s="792" t="str">
        <f>Translations!$B$467</f>
        <v>phone number</v>
      </c>
      <c r="N175" s="834"/>
      <c r="O175" s="20"/>
      <c r="P175" s="20"/>
    </row>
    <row r="176" spans="2:16" ht="12.75">
      <c r="B176" s="20"/>
      <c r="C176" s="20"/>
      <c r="D176" s="20"/>
      <c r="E176" s="40">
        <v>1</v>
      </c>
      <c r="F176" s="822"/>
      <c r="G176" s="823"/>
      <c r="H176" s="832"/>
      <c r="I176" s="833"/>
      <c r="J176" s="832"/>
      <c r="K176" s="835"/>
      <c r="L176" s="833"/>
      <c r="M176" s="830"/>
      <c r="N176" s="831"/>
      <c r="O176" s="20"/>
      <c r="P176" s="20"/>
    </row>
    <row r="177" spans="2:16" ht="12.75">
      <c r="B177" s="20"/>
      <c r="C177" s="20"/>
      <c r="D177" s="20"/>
      <c r="E177" s="34">
        <f>E176+1</f>
        <v>2</v>
      </c>
      <c r="F177" s="806"/>
      <c r="G177" s="807"/>
      <c r="H177" s="800"/>
      <c r="I177" s="801"/>
      <c r="J177" s="800"/>
      <c r="K177" s="812"/>
      <c r="L177" s="801"/>
      <c r="M177" s="804"/>
      <c r="N177" s="805"/>
      <c r="O177" s="20"/>
      <c r="P177" s="20"/>
    </row>
    <row r="178" spans="2:16" ht="12.75">
      <c r="B178" s="20"/>
      <c r="C178" s="20"/>
      <c r="D178" s="20"/>
      <c r="E178" s="34">
        <f aca="true" t="shared" si="2" ref="E178:E185">E177+1</f>
        <v>3</v>
      </c>
      <c r="F178" s="806"/>
      <c r="G178" s="807"/>
      <c r="H178" s="800"/>
      <c r="I178" s="801"/>
      <c r="J178" s="800"/>
      <c r="K178" s="812"/>
      <c r="L178" s="801"/>
      <c r="M178" s="804"/>
      <c r="N178" s="805"/>
      <c r="O178" s="20"/>
      <c r="P178" s="20"/>
    </row>
    <row r="179" spans="2:16" ht="12.75">
      <c r="B179" s="20"/>
      <c r="C179" s="20"/>
      <c r="D179" s="20"/>
      <c r="E179" s="34">
        <f t="shared" si="2"/>
        <v>4</v>
      </c>
      <c r="F179" s="806"/>
      <c r="G179" s="807"/>
      <c r="H179" s="800"/>
      <c r="I179" s="801"/>
      <c r="J179" s="800"/>
      <c r="K179" s="812"/>
      <c r="L179" s="801"/>
      <c r="M179" s="804"/>
      <c r="N179" s="805"/>
      <c r="O179" s="20"/>
      <c r="P179" s="20"/>
    </row>
    <row r="180" spans="2:16" ht="12.75">
      <c r="B180" s="20"/>
      <c r="C180" s="20"/>
      <c r="D180" s="20"/>
      <c r="E180" s="34">
        <f t="shared" si="2"/>
        <v>5</v>
      </c>
      <c r="F180" s="806"/>
      <c r="G180" s="807"/>
      <c r="H180" s="800"/>
      <c r="I180" s="801"/>
      <c r="J180" s="800"/>
      <c r="K180" s="812"/>
      <c r="L180" s="801"/>
      <c r="M180" s="804"/>
      <c r="N180" s="805"/>
      <c r="O180" s="20"/>
      <c r="P180" s="20"/>
    </row>
    <row r="181" spans="2:16" ht="12.75">
      <c r="B181" s="20"/>
      <c r="C181" s="20"/>
      <c r="D181" s="20"/>
      <c r="E181" s="34">
        <f t="shared" si="2"/>
        <v>6</v>
      </c>
      <c r="F181" s="806"/>
      <c r="G181" s="807"/>
      <c r="H181" s="800"/>
      <c r="I181" s="801"/>
      <c r="J181" s="800"/>
      <c r="K181" s="812"/>
      <c r="L181" s="801"/>
      <c r="M181" s="804"/>
      <c r="N181" s="805"/>
      <c r="O181" s="20"/>
      <c r="P181" s="20"/>
    </row>
    <row r="182" spans="2:16" ht="12.75">
      <c r="B182" s="20"/>
      <c r="C182" s="20"/>
      <c r="D182" s="20"/>
      <c r="E182" s="34">
        <f t="shared" si="2"/>
        <v>7</v>
      </c>
      <c r="F182" s="806"/>
      <c r="G182" s="807"/>
      <c r="H182" s="800"/>
      <c r="I182" s="801"/>
      <c r="J182" s="800"/>
      <c r="K182" s="812"/>
      <c r="L182" s="801"/>
      <c r="M182" s="804"/>
      <c r="N182" s="805"/>
      <c r="O182" s="20"/>
      <c r="P182" s="20"/>
    </row>
    <row r="183" spans="2:16" ht="12.75">
      <c r="B183" s="20"/>
      <c r="C183" s="20"/>
      <c r="D183" s="20"/>
      <c r="E183" s="34">
        <f t="shared" si="2"/>
        <v>8</v>
      </c>
      <c r="F183" s="806"/>
      <c r="G183" s="807"/>
      <c r="H183" s="800"/>
      <c r="I183" s="801"/>
      <c r="J183" s="800"/>
      <c r="K183" s="812"/>
      <c r="L183" s="801"/>
      <c r="M183" s="804"/>
      <c r="N183" s="805"/>
      <c r="O183" s="20"/>
      <c r="P183" s="20"/>
    </row>
    <row r="184" spans="2:16" ht="12.75">
      <c r="B184" s="20"/>
      <c r="C184" s="20"/>
      <c r="D184" s="20"/>
      <c r="E184" s="34">
        <f t="shared" si="2"/>
        <v>9</v>
      </c>
      <c r="F184" s="806"/>
      <c r="G184" s="807"/>
      <c r="H184" s="800"/>
      <c r="I184" s="801"/>
      <c r="J184" s="800"/>
      <c r="K184" s="812"/>
      <c r="L184" s="801"/>
      <c r="M184" s="804"/>
      <c r="N184" s="805"/>
      <c r="O184" s="20"/>
      <c r="P184" s="20"/>
    </row>
    <row r="185" spans="2:16" ht="12.75">
      <c r="B185" s="20"/>
      <c r="C185" s="20"/>
      <c r="D185" s="20"/>
      <c r="E185" s="35">
        <f t="shared" si="2"/>
        <v>10</v>
      </c>
      <c r="F185" s="808"/>
      <c r="G185" s="809"/>
      <c r="H185" s="813"/>
      <c r="I185" s="814"/>
      <c r="J185" s="813"/>
      <c r="K185" s="817"/>
      <c r="L185" s="814"/>
      <c r="M185" s="815"/>
      <c r="N185" s="816"/>
      <c r="O185" s="20"/>
      <c r="P185" s="20"/>
    </row>
    <row r="186" spans="2:16" ht="38.25" customHeight="1">
      <c r="B186" s="20"/>
      <c r="C186" s="20"/>
      <c r="D186" s="20"/>
      <c r="E186" s="27"/>
      <c r="F186" s="27"/>
      <c r="G186" s="27"/>
      <c r="H186" s="27"/>
      <c r="I186" s="27"/>
      <c r="J186" s="27"/>
      <c r="K186" s="27"/>
      <c r="L186" s="27"/>
      <c r="M186" s="27"/>
      <c r="N186" s="27"/>
      <c r="O186" s="20"/>
      <c r="P186" s="20"/>
    </row>
    <row r="187" spans="1:26" s="616" customFormat="1" ht="18" customHeight="1">
      <c r="A187" s="4"/>
      <c r="B187" s="215"/>
      <c r="C187" s="367" t="s">
        <v>620</v>
      </c>
      <c r="D187" s="384" t="str">
        <f>Translations!$B$1506</f>
        <v>Identification of all installations involved</v>
      </c>
      <c r="E187" s="384"/>
      <c r="F187" s="384"/>
      <c r="G187" s="384"/>
      <c r="H187" s="384"/>
      <c r="I187" s="384"/>
      <c r="J187" s="384"/>
      <c r="K187" s="384"/>
      <c r="L187" s="384"/>
      <c r="M187" s="384"/>
      <c r="N187" s="384"/>
      <c r="O187" s="216"/>
      <c r="P187" s="216"/>
      <c r="Q187" s="419"/>
      <c r="R187" s="419"/>
      <c r="S187" s="419"/>
      <c r="T187" s="419"/>
      <c r="U187" s="419"/>
      <c r="V187" s="419"/>
      <c r="W187" s="419"/>
      <c r="X187" s="419"/>
      <c r="Y187" s="419"/>
      <c r="Z187" s="419"/>
    </row>
    <row r="188" spans="2:17" ht="12.75" customHeight="1">
      <c r="B188" s="5"/>
      <c r="C188" s="5"/>
      <c r="D188" s="5"/>
      <c r="E188" s="5"/>
      <c r="F188" s="5"/>
      <c r="G188" s="5"/>
      <c r="H188" s="5"/>
      <c r="I188" s="5"/>
      <c r="J188" s="5"/>
      <c r="K188" s="5"/>
      <c r="L188" s="5"/>
      <c r="M188" s="9"/>
      <c r="N188" s="9"/>
      <c r="O188" s="9"/>
      <c r="P188" s="9"/>
      <c r="Q188" s="394"/>
    </row>
    <row r="189" spans="2:17" ht="12.75" customHeight="1">
      <c r="B189" s="5"/>
      <c r="C189" s="5"/>
      <c r="D189" s="758" t="str">
        <f>Translations!$B$1530</f>
        <v>Please provide here information on all installations involved in the merger, split or transfer of parts of installations.</v>
      </c>
      <c r="E189" s="758"/>
      <c r="F189" s="758"/>
      <c r="G189" s="758"/>
      <c r="H189" s="758"/>
      <c r="I189" s="758"/>
      <c r="J189" s="758"/>
      <c r="K189" s="758"/>
      <c r="L189" s="758"/>
      <c r="M189" s="758"/>
      <c r="N189" s="758"/>
      <c r="O189" s="9"/>
      <c r="P189" s="9"/>
      <c r="Q189" s="394"/>
    </row>
    <row r="190" spans="2:17" ht="12.75" customHeight="1">
      <c r="B190" s="5"/>
      <c r="C190" s="5"/>
      <c r="D190" s="759" t="str">
        <f>Translations!$B$1531</f>
        <v>Installations 1 and 2 are to be described for the situation BEFORE the merger, split or transfer of parts of installations.</v>
      </c>
      <c r="E190" s="759"/>
      <c r="F190" s="759"/>
      <c r="G190" s="759"/>
      <c r="H190" s="759"/>
      <c r="I190" s="759"/>
      <c r="J190" s="759"/>
      <c r="K190" s="759"/>
      <c r="L190" s="759"/>
      <c r="M190" s="759"/>
      <c r="N190" s="759"/>
      <c r="O190" s="9"/>
      <c r="P190" s="9"/>
      <c r="Q190" s="394"/>
    </row>
    <row r="191" spans="2:17" ht="25.5" customHeight="1">
      <c r="B191" s="5"/>
      <c r="C191" s="5"/>
      <c r="D191" s="759" t="str">
        <f>Translations!$B$1532</f>
        <v>Installations 3 and 4 are to be described for the situation AFTER the merger, split or transfer of parts of installations, with installation 3 being the one submitting this application.</v>
      </c>
      <c r="E191" s="759"/>
      <c r="F191" s="759"/>
      <c r="G191" s="759"/>
      <c r="H191" s="759"/>
      <c r="I191" s="759"/>
      <c r="J191" s="759"/>
      <c r="K191" s="759"/>
      <c r="L191" s="759"/>
      <c r="M191" s="759"/>
      <c r="N191" s="759"/>
      <c r="O191" s="9"/>
      <c r="P191" s="9"/>
      <c r="Q191" s="394"/>
    </row>
    <row r="192" spans="2:17" ht="12.75" customHeight="1">
      <c r="B192" s="5"/>
      <c r="C192" s="5"/>
      <c r="D192" s="759" t="str">
        <f>Translations!$B$1533</f>
        <v>Installations 3 and 4 are to be described for the situation AFTER the merger, split or transfer of parts of installations.</v>
      </c>
      <c r="E192" s="759"/>
      <c r="F192" s="759"/>
      <c r="G192" s="759"/>
      <c r="H192" s="759"/>
      <c r="I192" s="759"/>
      <c r="J192" s="759"/>
      <c r="K192" s="759"/>
      <c r="L192" s="759"/>
      <c r="M192" s="759"/>
      <c r="N192" s="759"/>
      <c r="O192" s="9"/>
      <c r="P192" s="9"/>
      <c r="Q192" s="394"/>
    </row>
    <row r="193" spans="2:17" ht="12.75" customHeight="1">
      <c r="B193" s="5"/>
      <c r="C193" s="5"/>
      <c r="D193" s="758" t="str">
        <f>Translations!$B$1534</f>
        <v>Please note that often there will be less than 4 installations involved. For those cases, not all of the following sections need to be filled:</v>
      </c>
      <c r="E193" s="758"/>
      <c r="F193" s="758"/>
      <c r="G193" s="758"/>
      <c r="H193" s="758"/>
      <c r="I193" s="758"/>
      <c r="J193" s="758"/>
      <c r="K193" s="758"/>
      <c r="L193" s="758"/>
      <c r="M193" s="758"/>
      <c r="N193" s="758"/>
      <c r="O193" s="9"/>
      <c r="P193" s="9"/>
      <c r="Q193" s="394"/>
    </row>
    <row r="194" spans="2:17" ht="12.75" customHeight="1">
      <c r="B194" s="5"/>
      <c r="C194" s="5"/>
      <c r="D194" s="195" t="s">
        <v>978</v>
      </c>
      <c r="E194" s="759" t="str">
        <f>Translations!$B$1535</f>
        <v>in the case of a merger, there will most commonly be two installations BEFORE the change and only one AFTER the change</v>
      </c>
      <c r="F194" s="759"/>
      <c r="G194" s="759"/>
      <c r="H194" s="759"/>
      <c r="I194" s="759"/>
      <c r="J194" s="759"/>
      <c r="K194" s="759"/>
      <c r="L194" s="759"/>
      <c r="M194" s="759"/>
      <c r="N194" s="759"/>
      <c r="O194" s="9"/>
      <c r="P194" s="9"/>
      <c r="Q194" s="394"/>
    </row>
    <row r="195" spans="2:17" ht="12.75" customHeight="1">
      <c r="B195" s="5"/>
      <c r="C195" s="5"/>
      <c r="D195" s="195" t="s">
        <v>978</v>
      </c>
      <c r="E195" s="759" t="str">
        <f>Translations!$B$1536</f>
        <v>in the case of a split, there will most commonly be one installation BEFORE the change and two installations AFTER the change</v>
      </c>
      <c r="F195" s="759"/>
      <c r="G195" s="759"/>
      <c r="H195" s="759"/>
      <c r="I195" s="759"/>
      <c r="J195" s="759"/>
      <c r="K195" s="759"/>
      <c r="L195" s="759"/>
      <c r="M195" s="759"/>
      <c r="N195" s="759"/>
      <c r="O195" s="9"/>
      <c r="P195" s="9"/>
      <c r="Q195" s="394"/>
    </row>
    <row r="196" spans="2:17" ht="12.75" customHeight="1">
      <c r="B196" s="5"/>
      <c r="C196" s="5"/>
      <c r="D196" s="5"/>
      <c r="E196" s="5"/>
      <c r="F196" s="5"/>
      <c r="G196" s="5"/>
      <c r="H196" s="5"/>
      <c r="I196" s="5"/>
      <c r="J196" s="5"/>
      <c r="K196" s="5"/>
      <c r="L196" s="5"/>
      <c r="M196" s="9"/>
      <c r="N196" s="9"/>
      <c r="O196" s="9"/>
      <c r="P196" s="20"/>
      <c r="Q196" s="394"/>
    </row>
    <row r="197" spans="2:16" ht="15">
      <c r="B197" s="20"/>
      <c r="C197" s="18">
        <v>1</v>
      </c>
      <c r="D197" s="760" t="str">
        <f>Translations!$B$1492&amp;" "&amp;C197</f>
        <v>Installation BEFORE merger, split or transfer 1</v>
      </c>
      <c r="E197" s="695"/>
      <c r="F197" s="695"/>
      <c r="G197" s="695"/>
      <c r="H197" s="695"/>
      <c r="I197" s="695"/>
      <c r="J197" s="695"/>
      <c r="K197" s="695"/>
      <c r="L197" s="695"/>
      <c r="M197" s="695"/>
      <c r="N197" s="695"/>
      <c r="O197" s="20"/>
      <c r="P197" s="20"/>
    </row>
    <row r="198" spans="2:17" ht="4.5" customHeight="1">
      <c r="B198" s="5"/>
      <c r="C198" s="5"/>
      <c r="D198" s="5"/>
      <c r="E198" s="5"/>
      <c r="F198" s="5"/>
      <c r="G198" s="5"/>
      <c r="H198" s="5"/>
      <c r="I198" s="5"/>
      <c r="J198" s="5"/>
      <c r="K198" s="5"/>
      <c r="L198" s="5"/>
      <c r="M198" s="9"/>
      <c r="N198" s="9"/>
      <c r="O198" s="9"/>
      <c r="P198" s="20"/>
      <c r="Q198" s="394"/>
    </row>
    <row r="199" spans="2:17" ht="12.75" customHeight="1">
      <c r="B199" s="5"/>
      <c r="C199" s="5"/>
      <c r="D199" s="102" t="s">
        <v>1680</v>
      </c>
      <c r="E199" s="696" t="str">
        <f>Translations!$B$1537</f>
        <v>Same installation as the one submitting this application?</v>
      </c>
      <c r="F199" s="695"/>
      <c r="G199" s="695"/>
      <c r="H199" s="695"/>
      <c r="I199" s="761"/>
      <c r="J199" s="377"/>
      <c r="K199" s="5"/>
      <c r="L199" s="5"/>
      <c r="M199" s="9"/>
      <c r="N199" s="9"/>
      <c r="O199" s="9"/>
      <c r="P199" s="20"/>
      <c r="Q199" s="394"/>
    </row>
    <row r="200" spans="2:17" ht="12.75" customHeight="1">
      <c r="B200" s="5"/>
      <c r="C200" s="5"/>
      <c r="D200" s="5"/>
      <c r="E200" s="759" t="str">
        <f>Translations!$B$1538</f>
        <v>Please enter here "TRUE" if the installation's ID and data (section II above) BEFORE merger, split or transfer is the same as AFTER this change.</v>
      </c>
      <c r="F200" s="759"/>
      <c r="G200" s="759"/>
      <c r="H200" s="759"/>
      <c r="I200" s="759"/>
      <c r="J200" s="759"/>
      <c r="K200" s="759"/>
      <c r="L200" s="759"/>
      <c r="M200" s="759"/>
      <c r="N200" s="759"/>
      <c r="O200" s="9"/>
      <c r="P200" s="20"/>
      <c r="Q200" s="394"/>
    </row>
    <row r="201" spans="2:17" ht="12.75" customHeight="1">
      <c r="B201" s="5"/>
      <c r="C201" s="5"/>
      <c r="D201" s="5"/>
      <c r="E201" s="759" t="str">
        <f>Translations!$B$1539</f>
        <v>Entering "FALSE" here indicates that installation ID or data is different.</v>
      </c>
      <c r="F201" s="759"/>
      <c r="G201" s="759"/>
      <c r="H201" s="759"/>
      <c r="I201" s="759"/>
      <c r="J201" s="759"/>
      <c r="K201" s="759"/>
      <c r="L201" s="759"/>
      <c r="M201" s="759"/>
      <c r="N201" s="759"/>
      <c r="O201" s="9"/>
      <c r="P201" s="20"/>
      <c r="Q201" s="394"/>
    </row>
    <row r="202" spans="2:17" ht="4.5" customHeight="1">
      <c r="B202" s="5"/>
      <c r="C202" s="5"/>
      <c r="D202" s="5"/>
      <c r="E202" s="254"/>
      <c r="F202" s="254"/>
      <c r="G202" s="254"/>
      <c r="H202" s="254"/>
      <c r="I202" s="254"/>
      <c r="J202" s="254"/>
      <c r="K202" s="254"/>
      <c r="L202" s="254"/>
      <c r="M202" s="254"/>
      <c r="N202" s="254"/>
      <c r="O202" s="9"/>
      <c r="P202" s="20"/>
      <c r="Q202" s="394"/>
    </row>
    <row r="203" spans="2:26" ht="12.75" customHeight="1">
      <c r="B203" s="5"/>
      <c r="C203" s="5"/>
      <c r="D203" s="5"/>
      <c r="E203" s="373" t="s">
        <v>1521</v>
      </c>
      <c r="F203" s="782" t="str">
        <f>Translations!$B$1540</f>
        <v>Installation name (from section II.)</v>
      </c>
      <c r="G203" s="782"/>
      <c r="H203" s="782"/>
      <c r="I203" s="783"/>
      <c r="J203" s="769">
        <f>IF(J199,IF(ISBLANK(J36),"",J36),"")</f>
      </c>
      <c r="K203" s="770"/>
      <c r="L203" s="770"/>
      <c r="M203" s="770"/>
      <c r="N203" s="771"/>
      <c r="O203" s="9"/>
      <c r="P203" s="20"/>
      <c r="Q203" s="394"/>
      <c r="Z203" s="530" t="s">
        <v>2045</v>
      </c>
    </row>
    <row r="204" spans="2:26" ht="12.75" customHeight="1">
      <c r="B204" s="5"/>
      <c r="C204" s="5"/>
      <c r="D204" s="5"/>
      <c r="E204" s="373" t="s">
        <v>1522</v>
      </c>
      <c r="F204" s="765" t="str">
        <f>Translations!$B$1541</f>
        <v>Manuell override (if name is different from i.)</v>
      </c>
      <c r="G204" s="765"/>
      <c r="H204" s="765"/>
      <c r="I204" s="766"/>
      <c r="J204" s="784"/>
      <c r="K204" s="785"/>
      <c r="L204" s="785"/>
      <c r="M204" s="785"/>
      <c r="N204" s="786"/>
      <c r="O204" s="9"/>
      <c r="P204" s="20"/>
      <c r="Q204" s="394"/>
      <c r="Z204" s="397">
        <f>IF(J199,1,IF(AND(J199&lt;&gt;"",J199=FALSE),2,""))</f>
      </c>
    </row>
    <row r="205" spans="2:17" ht="12.75" customHeight="1">
      <c r="B205" s="5"/>
      <c r="C205" s="5"/>
      <c r="D205" s="5"/>
      <c r="E205" s="373" t="s">
        <v>1523</v>
      </c>
      <c r="F205" s="767" t="str">
        <f>Translations!$B$1542</f>
        <v>Installation name used for submission</v>
      </c>
      <c r="G205" s="767"/>
      <c r="H205" s="767"/>
      <c r="I205" s="768"/>
      <c r="J205" s="776">
        <f>IF(J204="",J203,J204)</f>
      </c>
      <c r="K205" s="777"/>
      <c r="L205" s="777"/>
      <c r="M205" s="777"/>
      <c r="N205" s="778"/>
      <c r="O205" s="9"/>
      <c r="P205" s="20"/>
      <c r="Q205" s="394"/>
    </row>
    <row r="206" spans="2:17" ht="4.5" customHeight="1">
      <c r="B206" s="5"/>
      <c r="C206" s="5"/>
      <c r="D206" s="5"/>
      <c r="E206" s="5"/>
      <c r="F206" s="5"/>
      <c r="G206" s="5"/>
      <c r="H206" s="5"/>
      <c r="I206" s="5"/>
      <c r="J206" s="5"/>
      <c r="K206" s="5"/>
      <c r="L206" s="5"/>
      <c r="M206" s="9"/>
      <c r="N206" s="9"/>
      <c r="O206" s="9"/>
      <c r="P206" s="20"/>
      <c r="Q206" s="394"/>
    </row>
    <row r="207" spans="2:16" ht="12.75">
      <c r="B207" s="20"/>
      <c r="C207" s="20"/>
      <c r="D207" s="102" t="s">
        <v>413</v>
      </c>
      <c r="E207" s="696" t="str">
        <f>Translations!$B$350</f>
        <v>Unique Identifier provided by the competent authority:</v>
      </c>
      <c r="F207" s="695"/>
      <c r="G207" s="695"/>
      <c r="H207" s="695"/>
      <c r="I207" s="742"/>
      <c r="J207" s="788"/>
      <c r="K207" s="788"/>
      <c r="L207" s="788"/>
      <c r="M207" s="788"/>
      <c r="N207" s="788"/>
      <c r="O207" s="20"/>
      <c r="P207" s="20"/>
    </row>
    <row r="208" spans="2:26" ht="12.75" customHeight="1">
      <c r="B208" s="5"/>
      <c r="C208" s="5"/>
      <c r="D208" s="5"/>
      <c r="E208" s="373" t="s">
        <v>1521</v>
      </c>
      <c r="F208" s="782" t="str">
        <f>Translations!$B$1543</f>
        <v>Automatic Unique Identifier provided by CA</v>
      </c>
      <c r="G208" s="782"/>
      <c r="H208" s="782"/>
      <c r="I208" s="783"/>
      <c r="J208" s="769">
        <f>IF(J199,IF(ISBLANK(J44),"",J44),"")</f>
      </c>
      <c r="K208" s="770"/>
      <c r="L208" s="770"/>
      <c r="M208" s="770"/>
      <c r="N208" s="771"/>
      <c r="O208" s="9"/>
      <c r="P208" s="20"/>
      <c r="Q208" s="394"/>
      <c r="Z208" s="530" t="s">
        <v>2045</v>
      </c>
    </row>
    <row r="209" spans="2:26" ht="12.75" customHeight="1">
      <c r="B209" s="5"/>
      <c r="C209" s="5"/>
      <c r="D209" s="5"/>
      <c r="E209" s="373" t="s">
        <v>1522</v>
      </c>
      <c r="F209" s="765" t="str">
        <f>Translations!$B$1541</f>
        <v>Manuell override (if name is different from i.)</v>
      </c>
      <c r="G209" s="765"/>
      <c r="H209" s="765"/>
      <c r="I209" s="766"/>
      <c r="J209" s="784"/>
      <c r="K209" s="785"/>
      <c r="L209" s="785"/>
      <c r="M209" s="785"/>
      <c r="N209" s="786"/>
      <c r="O209" s="9"/>
      <c r="P209" s="20"/>
      <c r="Q209" s="394"/>
      <c r="Z209" s="397">
        <f>Z204</f>
      </c>
    </row>
    <row r="210" spans="2:17" ht="12.75" customHeight="1">
      <c r="B210" s="5"/>
      <c r="C210" s="5"/>
      <c r="D210" s="5"/>
      <c r="E210" s="373" t="s">
        <v>1523</v>
      </c>
      <c r="F210" s="767" t="str">
        <f>Translations!$B$1544</f>
        <v>Unique Identifier used for notification</v>
      </c>
      <c r="G210" s="767"/>
      <c r="H210" s="767"/>
      <c r="I210" s="768"/>
      <c r="J210" s="776">
        <f>IF(J209="",J208,J209)</f>
      </c>
      <c r="K210" s="777"/>
      <c r="L210" s="777"/>
      <c r="M210" s="777"/>
      <c r="N210" s="778"/>
      <c r="O210" s="9"/>
      <c r="P210" s="20"/>
      <c r="Q210" s="394"/>
    </row>
    <row r="211" spans="2:17" ht="4.5" customHeight="1">
      <c r="B211" s="5"/>
      <c r="C211" s="5"/>
      <c r="D211" s="5"/>
      <c r="E211" s="5"/>
      <c r="F211" s="5"/>
      <c r="G211" s="5"/>
      <c r="H211" s="5"/>
      <c r="I211" s="5"/>
      <c r="J211" s="5"/>
      <c r="K211" s="5"/>
      <c r="L211" s="5"/>
      <c r="M211" s="9"/>
      <c r="N211" s="9"/>
      <c r="O211" s="9"/>
      <c r="P211" s="20"/>
      <c r="Q211" s="394"/>
    </row>
    <row r="212" spans="2:26" ht="12.75">
      <c r="B212" s="20"/>
      <c r="C212" s="20"/>
      <c r="D212" s="14" t="s">
        <v>1649</v>
      </c>
      <c r="E212" s="696" t="str">
        <f>Translations!$B$352</f>
        <v>Identification code of the installation in the registry:</v>
      </c>
      <c r="F212" s="695"/>
      <c r="G212" s="695"/>
      <c r="H212" s="695"/>
      <c r="I212" s="761"/>
      <c r="J212" s="772"/>
      <c r="K212" s="773"/>
      <c r="L212" s="773"/>
      <c r="M212" s="773"/>
      <c r="N212" s="774"/>
      <c r="O212" s="20"/>
      <c r="P212" s="20"/>
      <c r="Z212" s="539">
        <f>J199</f>
        <v>0</v>
      </c>
    </row>
    <row r="213" spans="2:16" ht="12.75">
      <c r="B213" s="20"/>
      <c r="C213" s="20"/>
      <c r="D213" s="14"/>
      <c r="E213" s="750" t="str">
        <f>Translations!$B$353</f>
        <v>This is usually a natural number, i.e. a code different from the permit identifier used in the registry.</v>
      </c>
      <c r="F213" s="695"/>
      <c r="G213" s="695"/>
      <c r="H213" s="695"/>
      <c r="I213" s="695"/>
      <c r="J213" s="695"/>
      <c r="K213" s="695"/>
      <c r="L213" s="695"/>
      <c r="M213" s="695"/>
      <c r="N213" s="695"/>
      <c r="O213" s="20"/>
      <c r="P213" s="20"/>
    </row>
    <row r="214" spans="2:17" ht="4.5" customHeight="1">
      <c r="B214" s="5"/>
      <c r="C214" s="5"/>
      <c r="D214" s="5"/>
      <c r="E214" s="5"/>
      <c r="F214" s="5"/>
      <c r="G214" s="5"/>
      <c r="H214" s="5"/>
      <c r="I214" s="5"/>
      <c r="J214" s="5"/>
      <c r="K214" s="5"/>
      <c r="L214" s="5"/>
      <c r="M214" s="9"/>
      <c r="N214" s="9"/>
      <c r="O214" s="9"/>
      <c r="P214" s="20"/>
      <c r="Q214" s="394"/>
    </row>
    <row r="215" spans="2:16" ht="12.75" customHeight="1">
      <c r="B215" s="20"/>
      <c r="C215" s="20"/>
      <c r="D215" s="14" t="s">
        <v>413</v>
      </c>
      <c r="E215" s="373" t="s">
        <v>1521</v>
      </c>
      <c r="F215" s="782" t="str">
        <f>Translations!$B$1545</f>
        <v>Automatic Registry Uniqe ID</v>
      </c>
      <c r="G215" s="782"/>
      <c r="H215" s="782"/>
      <c r="I215" s="783"/>
      <c r="J215" s="769">
        <f>IF(J199,IF(ISBLANK(CNTR_UniqueID),"",CNTR_UniqueID),IF(AND($J$39&lt;&gt;"",J212&lt;&gt;""),CONCATENATE(INDEX(EUconst_MSlistISOcodes,MATCH($J$39,EUconst_MSlist,0)),TEXT(J212,"000000000000000")),""))</f>
      </c>
      <c r="K215" s="770"/>
      <c r="L215" s="770"/>
      <c r="M215" s="770"/>
      <c r="N215" s="771"/>
      <c r="O215" s="20"/>
      <c r="P215" s="20"/>
    </row>
    <row r="216" spans="2:26" ht="12.75" customHeight="1">
      <c r="B216" s="20"/>
      <c r="C216" s="20"/>
      <c r="D216" s="20"/>
      <c r="E216" s="373" t="s">
        <v>1522</v>
      </c>
      <c r="F216" s="765" t="str">
        <f>Translations!$B$1546</f>
        <v>Manual entry of Unique ID</v>
      </c>
      <c r="G216" s="765"/>
      <c r="H216" s="765"/>
      <c r="I216" s="766"/>
      <c r="J216" s="784"/>
      <c r="K216" s="785"/>
      <c r="L216" s="785"/>
      <c r="M216" s="785"/>
      <c r="N216" s="786"/>
      <c r="O216" s="20"/>
      <c r="P216" s="20"/>
      <c r="Z216" s="539">
        <f>Z212</f>
        <v>0</v>
      </c>
    </row>
    <row r="217" spans="2:19" ht="12.75" customHeight="1">
      <c r="B217" s="20"/>
      <c r="C217" s="20"/>
      <c r="D217" s="20"/>
      <c r="E217" s="373" t="s">
        <v>1523</v>
      </c>
      <c r="F217" s="767" t="str">
        <f>Translations!$B$1547</f>
        <v>Unique ID used for notification</v>
      </c>
      <c r="G217" s="767"/>
      <c r="H217" s="767"/>
      <c r="I217" s="768"/>
      <c r="J217" s="776">
        <f>IF(J216="",J215,J216)</f>
      </c>
      <c r="K217" s="777"/>
      <c r="L217" s="777"/>
      <c r="M217" s="777"/>
      <c r="N217" s="778"/>
      <c r="O217" s="20"/>
      <c r="P217" s="20"/>
      <c r="R217" s="397">
        <f>C197</f>
        <v>1</v>
      </c>
      <c r="S217" s="398">
        <f>J205</f>
      </c>
    </row>
    <row r="218" spans="2:16" ht="12.75">
      <c r="B218" s="20"/>
      <c r="C218" s="20"/>
      <c r="D218" s="20"/>
      <c r="E218" s="20"/>
      <c r="F218" s="20"/>
      <c r="G218" s="20"/>
      <c r="H218" s="20"/>
      <c r="I218" s="20"/>
      <c r="J218" s="20"/>
      <c r="K218" s="20"/>
      <c r="L218" s="20"/>
      <c r="M218" s="20"/>
      <c r="N218" s="20"/>
      <c r="O218" s="20"/>
      <c r="P218" s="20"/>
    </row>
    <row r="219" spans="2:16" ht="15" customHeight="1">
      <c r="B219" s="20"/>
      <c r="C219" s="18">
        <v>2</v>
      </c>
      <c r="D219" s="760" t="str">
        <f>Translations!$B$1492&amp;" "&amp;C219</f>
        <v>Installation BEFORE merger, split or transfer 2</v>
      </c>
      <c r="E219" s="695"/>
      <c r="F219" s="695"/>
      <c r="G219" s="695"/>
      <c r="H219" s="695"/>
      <c r="I219" s="695"/>
      <c r="J219" s="695"/>
      <c r="K219" s="695"/>
      <c r="L219" s="695"/>
      <c r="M219" s="695"/>
      <c r="N219" s="695"/>
      <c r="O219" s="20"/>
      <c r="P219" s="20"/>
    </row>
    <row r="220" spans="2:17" ht="12.75" customHeight="1">
      <c r="B220" s="5"/>
      <c r="C220" s="5"/>
      <c r="D220" s="758" t="str">
        <f>Translations!$B$1548</f>
        <v>If not more than one installation BEFORE the merger, split or transfer is involved, this section has to be left empty.</v>
      </c>
      <c r="E220" s="758"/>
      <c r="F220" s="758"/>
      <c r="G220" s="758"/>
      <c r="H220" s="758"/>
      <c r="I220" s="758"/>
      <c r="J220" s="758"/>
      <c r="K220" s="758"/>
      <c r="L220" s="758"/>
      <c r="M220" s="758"/>
      <c r="N220" s="758"/>
      <c r="O220" s="9"/>
      <c r="P220" s="20"/>
      <c r="Q220" s="394"/>
    </row>
    <row r="221" spans="2:17" ht="4.5" customHeight="1">
      <c r="B221" s="5"/>
      <c r="C221" s="5"/>
      <c r="D221" s="5"/>
      <c r="E221" s="5"/>
      <c r="F221" s="5"/>
      <c r="G221" s="5"/>
      <c r="H221" s="5"/>
      <c r="I221" s="5"/>
      <c r="J221" s="5"/>
      <c r="K221" s="5"/>
      <c r="L221" s="5"/>
      <c r="M221" s="9"/>
      <c r="N221" s="9"/>
      <c r="O221" s="9"/>
      <c r="P221" s="20"/>
      <c r="Q221" s="394"/>
    </row>
    <row r="222" spans="2:16" ht="12.75">
      <c r="B222" s="20"/>
      <c r="C222" s="20"/>
      <c r="D222" s="102" t="s">
        <v>1680</v>
      </c>
      <c r="E222" s="696" t="str">
        <f>Translations!$B$346</f>
        <v>Name of the installation:</v>
      </c>
      <c r="F222" s="695"/>
      <c r="G222" s="695"/>
      <c r="H222" s="695"/>
      <c r="I222" s="761"/>
      <c r="J222" s="762"/>
      <c r="K222" s="763"/>
      <c r="L222" s="763"/>
      <c r="M222" s="763"/>
      <c r="N222" s="764"/>
      <c r="O222" s="20"/>
      <c r="P222" s="20"/>
    </row>
    <row r="223" spans="2:17" ht="4.5" customHeight="1">
      <c r="B223" s="5"/>
      <c r="C223" s="5"/>
      <c r="D223" s="5"/>
      <c r="E223" s="5"/>
      <c r="F223" s="5"/>
      <c r="G223" s="5"/>
      <c r="H223" s="5"/>
      <c r="I223" s="5"/>
      <c r="J223" s="5"/>
      <c r="K223" s="5"/>
      <c r="L223" s="5"/>
      <c r="M223" s="9"/>
      <c r="N223" s="9"/>
      <c r="O223" s="9"/>
      <c r="P223" s="20"/>
      <c r="Q223" s="394"/>
    </row>
    <row r="224" spans="2:16" ht="12.75">
      <c r="B224" s="20"/>
      <c r="C224" s="20"/>
      <c r="D224" s="14" t="s">
        <v>761</v>
      </c>
      <c r="E224" s="696" t="str">
        <f>Translations!$B$350</f>
        <v>Unique Identifier provided by the competent authority:</v>
      </c>
      <c r="F224" s="695"/>
      <c r="G224" s="695"/>
      <c r="H224" s="695"/>
      <c r="I224" s="761"/>
      <c r="J224" s="762"/>
      <c r="K224" s="763"/>
      <c r="L224" s="763"/>
      <c r="M224" s="763"/>
      <c r="N224" s="764"/>
      <c r="O224" s="20"/>
      <c r="P224" s="20"/>
    </row>
    <row r="225" spans="2:17" ht="4.5" customHeight="1">
      <c r="B225" s="5"/>
      <c r="C225" s="5"/>
      <c r="D225" s="5"/>
      <c r="E225" s="5"/>
      <c r="F225" s="5"/>
      <c r="G225" s="5"/>
      <c r="H225" s="5"/>
      <c r="I225" s="5"/>
      <c r="J225" s="5"/>
      <c r="K225" s="5"/>
      <c r="L225" s="5"/>
      <c r="M225" s="9"/>
      <c r="N225" s="9"/>
      <c r="O225" s="9"/>
      <c r="P225" s="20"/>
      <c r="Q225" s="394"/>
    </row>
    <row r="226" spans="2:16" ht="12.75">
      <c r="B226" s="20"/>
      <c r="C226" s="20"/>
      <c r="D226" s="14" t="s">
        <v>1649</v>
      </c>
      <c r="E226" s="696" t="str">
        <f>Translations!$B$352</f>
        <v>Identification code of the installation in the registry:</v>
      </c>
      <c r="F226" s="695"/>
      <c r="G226" s="695"/>
      <c r="H226" s="695"/>
      <c r="I226" s="761"/>
      <c r="J226" s="772"/>
      <c r="K226" s="773"/>
      <c r="L226" s="773"/>
      <c r="M226" s="773"/>
      <c r="N226" s="774"/>
      <c r="O226" s="20"/>
      <c r="P226" s="20"/>
    </row>
    <row r="227" spans="2:17" ht="4.5" customHeight="1">
      <c r="B227" s="5"/>
      <c r="C227" s="5"/>
      <c r="D227" s="5"/>
      <c r="E227" s="5"/>
      <c r="F227" s="5"/>
      <c r="G227" s="5"/>
      <c r="H227" s="5"/>
      <c r="I227" s="5"/>
      <c r="J227" s="5"/>
      <c r="K227" s="5"/>
      <c r="L227" s="5"/>
      <c r="M227" s="9"/>
      <c r="N227" s="9"/>
      <c r="O227" s="9"/>
      <c r="P227" s="20"/>
      <c r="Q227" s="394"/>
    </row>
    <row r="228" spans="2:16" ht="12.75" customHeight="1">
      <c r="B228" s="20"/>
      <c r="C228" s="20"/>
      <c r="D228" s="14" t="s">
        <v>413</v>
      </c>
      <c r="E228" s="373" t="s">
        <v>1521</v>
      </c>
      <c r="F228" s="782" t="str">
        <f>Translations!$B$1549</f>
        <v>Automatic Uniqe ID</v>
      </c>
      <c r="G228" s="782"/>
      <c r="H228" s="782"/>
      <c r="I228" s="783"/>
      <c r="J228" s="769">
        <f>IF(AND($J$39&lt;&gt;"",J226&lt;&gt;""),CONCATENATE(INDEX(EUconst_MSlistISOcodes,MATCH($J$39,EUconst_MSlist,0)),TEXT(J226,"000000000000000")),"")</f>
      </c>
      <c r="K228" s="770"/>
      <c r="L228" s="770"/>
      <c r="M228" s="770"/>
      <c r="N228" s="771"/>
      <c r="O228" s="20"/>
      <c r="P228" s="20"/>
    </row>
    <row r="229" spans="2:16" ht="12.75" customHeight="1">
      <c r="B229" s="20"/>
      <c r="C229" s="20"/>
      <c r="D229" s="20"/>
      <c r="E229" s="373" t="s">
        <v>1522</v>
      </c>
      <c r="F229" s="765" t="str">
        <f>Translations!$B$1550</f>
        <v>Manuell override (if i. not appropriate)</v>
      </c>
      <c r="G229" s="765"/>
      <c r="H229" s="765"/>
      <c r="I229" s="766"/>
      <c r="J229" s="779"/>
      <c r="K229" s="780"/>
      <c r="L229" s="780"/>
      <c r="M229" s="780"/>
      <c r="N229" s="781"/>
      <c r="O229" s="20"/>
      <c r="P229" s="20"/>
    </row>
    <row r="230" spans="2:19" ht="12.75" customHeight="1">
      <c r="B230" s="20"/>
      <c r="C230" s="20"/>
      <c r="D230" s="20"/>
      <c r="E230" s="373" t="s">
        <v>1523</v>
      </c>
      <c r="F230" s="767" t="str">
        <f>Translations!$B$1547</f>
        <v>Unique ID used for notification</v>
      </c>
      <c r="G230" s="767"/>
      <c r="H230" s="767"/>
      <c r="I230" s="768"/>
      <c r="J230" s="776">
        <f>IF(J229="",J228,J229)</f>
      </c>
      <c r="K230" s="777"/>
      <c r="L230" s="777"/>
      <c r="M230" s="777"/>
      <c r="N230" s="778"/>
      <c r="O230" s="20"/>
      <c r="P230" s="20"/>
      <c r="R230" s="397">
        <f>C219</f>
        <v>2</v>
      </c>
      <c r="S230" s="587">
        <f>J222</f>
        <v>0</v>
      </c>
    </row>
    <row r="231" spans="2:26" ht="25.5" customHeight="1" thickBot="1">
      <c r="B231" s="5"/>
      <c r="C231" s="400"/>
      <c r="D231" s="400"/>
      <c r="E231" s="426"/>
      <c r="F231" s="426"/>
      <c r="G231" s="426"/>
      <c r="H231" s="426"/>
      <c r="I231" s="427"/>
      <c r="J231" s="431"/>
      <c r="K231" s="400"/>
      <c r="L231" s="400"/>
      <c r="M231" s="400"/>
      <c r="N231" s="400"/>
      <c r="O231" s="375"/>
      <c r="P231" s="20"/>
      <c r="Q231" s="531"/>
      <c r="R231" s="531"/>
      <c r="S231" s="531"/>
      <c r="T231" s="531"/>
      <c r="U231" s="531"/>
      <c r="V231" s="531"/>
      <c r="W231" s="531"/>
      <c r="X231" s="531"/>
      <c r="Y231" s="531"/>
      <c r="Z231" s="531"/>
    </row>
    <row r="232" spans="2:16" ht="12.75">
      <c r="B232" s="20"/>
      <c r="C232" s="20"/>
      <c r="D232" s="20"/>
      <c r="E232" s="20"/>
      <c r="F232" s="20"/>
      <c r="G232" s="20"/>
      <c r="H232" s="20"/>
      <c r="I232" s="20"/>
      <c r="J232" s="20"/>
      <c r="K232" s="20"/>
      <c r="L232" s="20"/>
      <c r="M232" s="20"/>
      <c r="N232" s="20"/>
      <c r="O232" s="20"/>
      <c r="P232" s="20"/>
    </row>
    <row r="233" spans="2:16" ht="15" customHeight="1">
      <c r="B233" s="20"/>
      <c r="C233" s="18">
        <v>3</v>
      </c>
      <c r="D233" s="760" t="str">
        <f>Translations!$B$1493&amp;" "&amp;C233</f>
        <v>Installation AFTER merger, split or transfer (submitting this application) 3</v>
      </c>
      <c r="E233" s="695"/>
      <c r="F233" s="695"/>
      <c r="G233" s="695"/>
      <c r="H233" s="695"/>
      <c r="I233" s="695"/>
      <c r="J233" s="695"/>
      <c r="K233" s="695"/>
      <c r="L233" s="695"/>
      <c r="M233" s="695"/>
      <c r="N233" s="695"/>
      <c r="O233" s="20"/>
      <c r="P233" s="20"/>
    </row>
    <row r="234" spans="2:17" ht="12.75" customHeight="1">
      <c r="B234" s="5"/>
      <c r="C234" s="5"/>
      <c r="D234" s="758" t="str">
        <f>Translations!$B$1551</f>
        <v>Note: This is the installation submitting this application. Entries here are therefore be identical to those in section II above.</v>
      </c>
      <c r="E234" s="758"/>
      <c r="F234" s="758"/>
      <c r="G234" s="758"/>
      <c r="H234" s="758"/>
      <c r="I234" s="758"/>
      <c r="J234" s="758"/>
      <c r="K234" s="758"/>
      <c r="L234" s="758"/>
      <c r="M234" s="758"/>
      <c r="N234" s="758"/>
      <c r="O234" s="9"/>
      <c r="P234" s="20"/>
      <c r="Q234" s="394"/>
    </row>
    <row r="235" spans="2:17" ht="4.5" customHeight="1">
      <c r="B235" s="5"/>
      <c r="C235" s="5"/>
      <c r="D235" s="5"/>
      <c r="E235" s="5"/>
      <c r="F235" s="5"/>
      <c r="G235" s="5"/>
      <c r="H235" s="5"/>
      <c r="I235" s="5"/>
      <c r="J235" s="5"/>
      <c r="K235" s="5"/>
      <c r="L235" s="5"/>
      <c r="M235" s="9"/>
      <c r="N235" s="9"/>
      <c r="O235" s="9"/>
      <c r="P235" s="20"/>
      <c r="Q235" s="394"/>
    </row>
    <row r="236" spans="2:16" ht="12.75" customHeight="1">
      <c r="B236" s="20"/>
      <c r="C236" s="20"/>
      <c r="D236" s="102" t="s">
        <v>1680</v>
      </c>
      <c r="E236" s="696" t="str">
        <f>Translations!$B$346</f>
        <v>Name of the installation:</v>
      </c>
      <c r="F236" s="695"/>
      <c r="G236" s="695"/>
      <c r="H236" s="695"/>
      <c r="I236" s="761"/>
      <c r="J236" s="776">
        <f>IF(ISBLANK(J36),"",J36)</f>
      </c>
      <c r="K236" s="777"/>
      <c r="L236" s="777"/>
      <c r="M236" s="777"/>
      <c r="N236" s="778"/>
      <c r="O236" s="20"/>
      <c r="P236" s="20"/>
    </row>
    <row r="237" spans="2:17" ht="4.5" customHeight="1">
      <c r="B237" s="5"/>
      <c r="C237" s="5"/>
      <c r="D237" s="5"/>
      <c r="E237" s="5"/>
      <c r="F237" s="5"/>
      <c r="G237" s="5"/>
      <c r="H237" s="5"/>
      <c r="I237" s="5"/>
      <c r="J237" s="5"/>
      <c r="K237" s="5"/>
      <c r="L237" s="5"/>
      <c r="M237" s="9"/>
      <c r="N237" s="9"/>
      <c r="O237" s="9"/>
      <c r="P237" s="20"/>
      <c r="Q237" s="394"/>
    </row>
    <row r="238" spans="2:16" ht="12.75">
      <c r="B238" s="20"/>
      <c r="C238" s="20"/>
      <c r="D238" s="14" t="s">
        <v>761</v>
      </c>
      <c r="E238" s="696" t="str">
        <f>Translations!$B$350</f>
        <v>Unique Identifier provided by the competent authority:</v>
      </c>
      <c r="F238" s="695"/>
      <c r="G238" s="695"/>
      <c r="H238" s="695"/>
      <c r="I238" s="761"/>
      <c r="J238" s="776">
        <f>IF(ISBLANK(J44),"",J44)</f>
      </c>
      <c r="K238" s="777"/>
      <c r="L238" s="777"/>
      <c r="M238" s="777"/>
      <c r="N238" s="778"/>
      <c r="O238" s="20"/>
      <c r="P238" s="20"/>
    </row>
    <row r="239" spans="2:17" ht="4.5" customHeight="1">
      <c r="B239" s="5"/>
      <c r="C239" s="5"/>
      <c r="D239" s="5"/>
      <c r="E239" s="5"/>
      <c r="F239" s="5"/>
      <c r="G239" s="5"/>
      <c r="H239" s="5"/>
      <c r="I239" s="5"/>
      <c r="J239" s="5"/>
      <c r="K239" s="5"/>
      <c r="L239" s="5"/>
      <c r="M239" s="9"/>
      <c r="N239" s="9"/>
      <c r="O239" s="9"/>
      <c r="P239" s="20"/>
      <c r="Q239" s="394"/>
    </row>
    <row r="240" spans="2:19" ht="12.75" customHeight="1">
      <c r="B240" s="20"/>
      <c r="C240" s="20"/>
      <c r="D240" s="14" t="s">
        <v>1649</v>
      </c>
      <c r="E240" s="696" t="str">
        <f>Translations!$B$354</f>
        <v>Suggested unique ID for notification to the Commission:</v>
      </c>
      <c r="F240" s="695"/>
      <c r="G240" s="695"/>
      <c r="H240" s="695"/>
      <c r="I240" s="761"/>
      <c r="J240" s="775">
        <f>CNTR_UniqueID</f>
      </c>
      <c r="K240" s="775"/>
      <c r="L240" s="775"/>
      <c r="M240" s="775"/>
      <c r="N240" s="775"/>
      <c r="O240" s="20"/>
      <c r="P240" s="20"/>
      <c r="R240" s="397">
        <f>C233</f>
        <v>3</v>
      </c>
      <c r="S240" s="398">
        <f>J236</f>
      </c>
    </row>
    <row r="241" spans="2:16" ht="12.75">
      <c r="B241" s="20"/>
      <c r="C241" s="20"/>
      <c r="D241" s="20"/>
      <c r="E241" s="20"/>
      <c r="F241" s="20"/>
      <c r="G241" s="20"/>
      <c r="H241" s="20"/>
      <c r="I241" s="20"/>
      <c r="J241" s="20"/>
      <c r="K241" s="20"/>
      <c r="L241" s="20"/>
      <c r="M241" s="20"/>
      <c r="N241" s="20"/>
      <c r="O241" s="20"/>
      <c r="P241" s="20"/>
    </row>
    <row r="242" spans="2:16" ht="15" customHeight="1">
      <c r="B242" s="20"/>
      <c r="C242" s="18">
        <v>4</v>
      </c>
      <c r="D242" s="760" t="str">
        <f>Translations!$B$1494&amp;" "&amp;C242</f>
        <v>Installation AFTER merger, split or transfer 4</v>
      </c>
      <c r="E242" s="695"/>
      <c r="F242" s="695"/>
      <c r="G242" s="695"/>
      <c r="H242" s="695"/>
      <c r="I242" s="695"/>
      <c r="J242" s="695"/>
      <c r="K242" s="695"/>
      <c r="L242" s="695"/>
      <c r="M242" s="695"/>
      <c r="N242" s="695"/>
      <c r="O242" s="20"/>
      <c r="P242" s="20"/>
    </row>
    <row r="243" spans="2:17" ht="12.75" customHeight="1">
      <c r="B243" s="5"/>
      <c r="C243" s="5"/>
      <c r="D243" s="758" t="str">
        <f>Translations!$B$1552</f>
        <v>If not more than one installation AFTER the merger, split or transfer is involved, this section has to be left empty.</v>
      </c>
      <c r="E243" s="758"/>
      <c r="F243" s="758"/>
      <c r="G243" s="758"/>
      <c r="H243" s="758"/>
      <c r="I243" s="758"/>
      <c r="J243" s="758"/>
      <c r="K243" s="758"/>
      <c r="L243" s="758"/>
      <c r="M243" s="758"/>
      <c r="N243" s="758"/>
      <c r="O243" s="9"/>
      <c r="P243" s="20"/>
      <c r="Q243" s="394"/>
    </row>
    <row r="244" spans="2:17" ht="4.5" customHeight="1">
      <c r="B244" s="5"/>
      <c r="C244" s="5"/>
      <c r="D244" s="5"/>
      <c r="E244" s="5"/>
      <c r="F244" s="5"/>
      <c r="G244" s="5"/>
      <c r="H244" s="5"/>
      <c r="I244" s="5"/>
      <c r="J244" s="5"/>
      <c r="K244" s="5"/>
      <c r="L244" s="5"/>
      <c r="M244" s="9"/>
      <c r="N244" s="9"/>
      <c r="O244" s="9"/>
      <c r="P244" s="20"/>
      <c r="Q244" s="394"/>
    </row>
    <row r="245" spans="2:16" ht="12.75">
      <c r="B245" s="20"/>
      <c r="C245" s="20"/>
      <c r="D245" s="102" t="s">
        <v>1680</v>
      </c>
      <c r="E245" s="696" t="str">
        <f>Translations!$B$346</f>
        <v>Name of the installation:</v>
      </c>
      <c r="F245" s="695"/>
      <c r="G245" s="695"/>
      <c r="H245" s="695"/>
      <c r="I245" s="761"/>
      <c r="J245" s="762"/>
      <c r="K245" s="763"/>
      <c r="L245" s="763"/>
      <c r="M245" s="763"/>
      <c r="N245" s="764"/>
      <c r="O245" s="20"/>
      <c r="P245" s="20"/>
    </row>
    <row r="246" spans="2:17" ht="4.5" customHeight="1">
      <c r="B246" s="5"/>
      <c r="C246" s="5"/>
      <c r="D246" s="5"/>
      <c r="E246" s="5"/>
      <c r="F246" s="5"/>
      <c r="G246" s="5"/>
      <c r="H246" s="5"/>
      <c r="I246" s="5"/>
      <c r="J246" s="5"/>
      <c r="K246" s="5"/>
      <c r="L246" s="5"/>
      <c r="M246" s="9"/>
      <c r="N246" s="9"/>
      <c r="O246" s="9"/>
      <c r="P246" s="20"/>
      <c r="Q246" s="394"/>
    </row>
    <row r="247" spans="2:16" ht="12.75">
      <c r="B247" s="20"/>
      <c r="C247" s="20"/>
      <c r="D247" s="14" t="s">
        <v>761</v>
      </c>
      <c r="E247" s="696" t="str">
        <f>Translations!$B$350</f>
        <v>Unique Identifier provided by the competent authority:</v>
      </c>
      <c r="F247" s="695"/>
      <c r="G247" s="695"/>
      <c r="H247" s="695"/>
      <c r="I247" s="761"/>
      <c r="J247" s="762"/>
      <c r="K247" s="763"/>
      <c r="L247" s="763"/>
      <c r="M247" s="763"/>
      <c r="N247" s="764"/>
      <c r="O247" s="20"/>
      <c r="P247" s="20"/>
    </row>
    <row r="248" spans="2:17" ht="4.5" customHeight="1">
      <c r="B248" s="5"/>
      <c r="C248" s="5"/>
      <c r="D248" s="5"/>
      <c r="E248" s="5"/>
      <c r="F248" s="5"/>
      <c r="G248" s="5"/>
      <c r="H248" s="5"/>
      <c r="I248" s="5"/>
      <c r="J248" s="5"/>
      <c r="K248" s="5"/>
      <c r="L248" s="5"/>
      <c r="M248" s="9"/>
      <c r="N248" s="9"/>
      <c r="O248" s="9"/>
      <c r="P248" s="20"/>
      <c r="Q248" s="394"/>
    </row>
    <row r="249" spans="2:16" ht="12.75">
      <c r="B249" s="20"/>
      <c r="C249" s="20"/>
      <c r="D249" s="14" t="s">
        <v>1649</v>
      </c>
      <c r="E249" s="696" t="str">
        <f>Translations!$B$352</f>
        <v>Identification code of the installation in the registry:</v>
      </c>
      <c r="F249" s="695"/>
      <c r="G249" s="695"/>
      <c r="H249" s="695"/>
      <c r="I249" s="761"/>
      <c r="J249" s="772"/>
      <c r="K249" s="773"/>
      <c r="L249" s="773"/>
      <c r="M249" s="773"/>
      <c r="N249" s="774"/>
      <c r="O249" s="20"/>
      <c r="P249" s="20"/>
    </row>
    <row r="250" spans="2:17" ht="4.5" customHeight="1">
      <c r="B250" s="5"/>
      <c r="C250" s="5"/>
      <c r="D250" s="5"/>
      <c r="E250" s="5"/>
      <c r="F250" s="5"/>
      <c r="G250" s="5"/>
      <c r="H250" s="5"/>
      <c r="I250" s="5"/>
      <c r="J250" s="5"/>
      <c r="K250" s="5"/>
      <c r="L250" s="5"/>
      <c r="M250" s="9"/>
      <c r="N250" s="9"/>
      <c r="O250" s="9"/>
      <c r="P250" s="20"/>
      <c r="Q250" s="394"/>
    </row>
    <row r="251" spans="2:16" ht="12.75" customHeight="1">
      <c r="B251" s="20"/>
      <c r="C251" s="20"/>
      <c r="D251" s="14" t="s">
        <v>413</v>
      </c>
      <c r="E251" s="373" t="s">
        <v>1521</v>
      </c>
      <c r="F251" s="782" t="str">
        <f>Translations!$B$1549</f>
        <v>Automatic Uniqe ID</v>
      </c>
      <c r="G251" s="782"/>
      <c r="H251" s="782"/>
      <c r="I251" s="783"/>
      <c r="J251" s="769">
        <f>IF(AND($J$39&lt;&gt;"",J249&lt;&gt;""),CONCATENATE(INDEX(EUconst_MSlistISOcodes,MATCH($J$39,EUconst_MSlist,0)),TEXT(J249,"000000000000000")),"")</f>
      </c>
      <c r="K251" s="770"/>
      <c r="L251" s="770"/>
      <c r="M251" s="770"/>
      <c r="N251" s="771"/>
      <c r="O251" s="20"/>
      <c r="P251" s="20"/>
    </row>
    <row r="252" spans="2:16" ht="12.75" customHeight="1">
      <c r="B252" s="20"/>
      <c r="C252" s="20"/>
      <c r="D252" s="20"/>
      <c r="E252" s="373" t="s">
        <v>1522</v>
      </c>
      <c r="F252" s="765" t="str">
        <f>Translations!$B$1550</f>
        <v>Manuell override (if i. not appropriate)</v>
      </c>
      <c r="G252" s="765"/>
      <c r="H252" s="765"/>
      <c r="I252" s="766"/>
      <c r="J252" s="779"/>
      <c r="K252" s="780"/>
      <c r="L252" s="780"/>
      <c r="M252" s="780"/>
      <c r="N252" s="781"/>
      <c r="O252" s="20"/>
      <c r="P252" s="20"/>
    </row>
    <row r="253" spans="2:19" ht="12.75" customHeight="1">
      <c r="B253" s="20"/>
      <c r="C253" s="20"/>
      <c r="D253" s="20"/>
      <c r="E253" s="373" t="s">
        <v>1523</v>
      </c>
      <c r="F253" s="767" t="str">
        <f>Translations!$B$1547</f>
        <v>Unique ID used for notification</v>
      </c>
      <c r="G253" s="767"/>
      <c r="H253" s="767"/>
      <c r="I253" s="768"/>
      <c r="J253" s="776">
        <f>IF(J252="",J251,J252)</f>
      </c>
      <c r="K253" s="777"/>
      <c r="L253" s="777"/>
      <c r="M253" s="777"/>
      <c r="N253" s="778"/>
      <c r="O253" s="20"/>
      <c r="P253" s="20"/>
      <c r="R253" s="397">
        <f>C242</f>
        <v>4</v>
      </c>
      <c r="S253" s="587">
        <f>J245</f>
        <v>0</v>
      </c>
    </row>
    <row r="254" spans="2:16" ht="38.25" customHeight="1">
      <c r="B254" s="20"/>
      <c r="C254" s="20"/>
      <c r="D254" s="20"/>
      <c r="E254" s="20"/>
      <c r="F254" s="20"/>
      <c r="G254" s="20"/>
      <c r="H254" s="20"/>
      <c r="I254" s="20"/>
      <c r="J254" s="20"/>
      <c r="K254" s="20"/>
      <c r="L254" s="20"/>
      <c r="M254" s="20"/>
      <c r="N254" s="20"/>
      <c r="O254" s="20"/>
      <c r="P254" s="20"/>
    </row>
    <row r="255" spans="2:18" ht="12.75" customHeight="1">
      <c r="B255" s="20"/>
      <c r="C255" s="20"/>
      <c r="D255" s="732" t="str">
        <f>HYPERLINK(R255,Translations!$B$336)</f>
        <v>&lt;&lt;&lt; Click here to proceed to next sheet &gt;&gt;&gt; </v>
      </c>
      <c r="E255" s="733"/>
      <c r="F255" s="733"/>
      <c r="G255" s="733"/>
      <c r="H255" s="733"/>
      <c r="I255" s="733"/>
      <c r="J255" s="733"/>
      <c r="K255" s="733"/>
      <c r="L255" s="733"/>
      <c r="M255" s="733"/>
      <c r="N255" s="733"/>
      <c r="O255" s="20"/>
      <c r="P255" s="20"/>
      <c r="R255" s="542" t="str">
        <f>$W$2</f>
        <v>#B_InitialSituation!$C$6</v>
      </c>
    </row>
    <row r="256" spans="2:16" ht="12.75">
      <c r="B256" s="20"/>
      <c r="C256" s="20"/>
      <c r="D256" s="20"/>
      <c r="E256" s="20"/>
      <c r="F256" s="20"/>
      <c r="G256" s="20"/>
      <c r="H256" s="20"/>
      <c r="I256" s="20"/>
      <c r="J256" s="20"/>
      <c r="K256" s="20"/>
      <c r="L256" s="20"/>
      <c r="M256" s="20"/>
      <c r="N256" s="20"/>
      <c r="O256" s="20"/>
      <c r="P256" s="20"/>
    </row>
    <row r="257" spans="1:26" ht="12.75" hidden="1">
      <c r="A257" s="4" t="str">
        <f>Translations!$B$1507</f>
        <v>ausblenden</v>
      </c>
      <c r="B257" s="4" t="str">
        <f>Translations!$B$1553</f>
        <v>End</v>
      </c>
      <c r="C257" s="4" t="str">
        <f>Translations!$B$1553</f>
        <v>End</v>
      </c>
      <c r="D257" s="4" t="str">
        <f>Translations!$B$1553</f>
        <v>End</v>
      </c>
      <c r="E257" s="4" t="str">
        <f>Translations!$B$1553</f>
        <v>End</v>
      </c>
      <c r="F257" s="4" t="str">
        <f>Translations!$B$1553</f>
        <v>End</v>
      </c>
      <c r="G257" s="4"/>
      <c r="H257" s="4" t="str">
        <f>Translations!$B$1553</f>
        <v>End</v>
      </c>
      <c r="I257" s="4" t="str">
        <f>Translations!$B$1553</f>
        <v>End</v>
      </c>
      <c r="J257" s="4" t="str">
        <f>Translations!$B$1553</f>
        <v>End</v>
      </c>
      <c r="K257" s="4" t="str">
        <f>Translations!$B$1553</f>
        <v>End</v>
      </c>
      <c r="L257" s="4" t="str">
        <f>Translations!$B$1553</f>
        <v>End</v>
      </c>
      <c r="M257" s="4" t="str">
        <f>Translations!$B$1553</f>
        <v>End</v>
      </c>
      <c r="N257" s="4" t="str">
        <f>Translations!$B$1553</f>
        <v>End</v>
      </c>
      <c r="O257" s="4" t="str">
        <f>Translations!$B$1553</f>
        <v>End</v>
      </c>
      <c r="P257" s="4"/>
      <c r="Q257" s="386" t="str">
        <f>Translations!$B$1553</f>
        <v>End</v>
      </c>
      <c r="R257" s="386" t="str">
        <f>Translations!$B$1553</f>
        <v>End</v>
      </c>
      <c r="S257" s="386" t="str">
        <f>Translations!$B$1553</f>
        <v>End</v>
      </c>
      <c r="T257" s="386" t="str">
        <f>Translations!$B$1553</f>
        <v>End</v>
      </c>
      <c r="U257" s="386" t="str">
        <f>Translations!$B$1553</f>
        <v>End</v>
      </c>
      <c r="V257" s="386" t="str">
        <f>Translations!$B$1553</f>
        <v>End</v>
      </c>
      <c r="W257" s="386" t="str">
        <f>Translations!$B$1553</f>
        <v>End</v>
      </c>
      <c r="X257" s="386" t="str">
        <f>Translations!$B$1553</f>
        <v>End</v>
      </c>
      <c r="Z257" s="386" t="str">
        <f>Translations!$B$1553</f>
        <v>End</v>
      </c>
    </row>
    <row r="258" spans="1:16" ht="12.75" hidden="1">
      <c r="A258" s="4" t="str">
        <f>Translations!$B$1507</f>
        <v>ausblenden</v>
      </c>
      <c r="B258" s="3"/>
      <c r="C258" s="3"/>
      <c r="D258" s="3"/>
      <c r="E258" s="3"/>
      <c r="F258" s="3"/>
      <c r="G258" s="3"/>
      <c r="H258" s="3"/>
      <c r="I258" s="3"/>
      <c r="J258" s="3"/>
      <c r="K258" s="3"/>
      <c r="L258" s="3"/>
      <c r="M258" s="3"/>
      <c r="N258" s="3"/>
      <c r="O258" s="3"/>
      <c r="P258" s="3"/>
    </row>
    <row r="259" spans="1:16" ht="13.5" hidden="1" thickBot="1">
      <c r="A259" s="4" t="str">
        <f>Translations!$B$1507</f>
        <v>ausblenden</v>
      </c>
      <c r="B259" s="3"/>
      <c r="C259" s="3"/>
      <c r="D259" s="30" t="str">
        <f>Translations!$B$1554</f>
        <v>Area for functionalities, Constants etc.</v>
      </c>
      <c r="E259" s="3"/>
      <c r="F259" s="3"/>
      <c r="G259" s="3"/>
      <c r="H259" s="3"/>
      <c r="I259" s="3" t="s">
        <v>1954</v>
      </c>
      <c r="J259" s="3"/>
      <c r="K259" s="3"/>
      <c r="L259" s="3"/>
      <c r="M259" s="3"/>
      <c r="N259" s="3"/>
      <c r="O259" s="3"/>
      <c r="P259" s="3"/>
    </row>
    <row r="260" spans="1:16" ht="12.75" hidden="1">
      <c r="A260" s="4" t="str">
        <f>Translations!$B$1507</f>
        <v>ausblenden</v>
      </c>
      <c r="B260" s="3"/>
      <c r="C260" s="3"/>
      <c r="D260" s="30"/>
      <c r="E260" s="84"/>
      <c r="F260" s="38"/>
      <c r="G260" s="38"/>
      <c r="H260" s="38"/>
      <c r="I260" s="38"/>
      <c r="J260" s="38"/>
      <c r="K260" s="38"/>
      <c r="L260" s="38"/>
      <c r="M260" s="38"/>
      <c r="N260" s="39"/>
      <c r="O260" s="3"/>
      <c r="P260" s="3"/>
    </row>
    <row r="261" spans="1:16" ht="13.5" hidden="1" thickBot="1">
      <c r="A261" s="4" t="str">
        <f>Translations!$B$1507</f>
        <v>ausblenden</v>
      </c>
      <c r="B261" s="3"/>
      <c r="C261" s="3"/>
      <c r="D261" s="3"/>
      <c r="E261" s="412" t="s">
        <v>762</v>
      </c>
      <c r="F261" s="413"/>
      <c r="G261" s="413"/>
      <c r="H261" s="413"/>
      <c r="I261" s="414">
        <v>1</v>
      </c>
      <c r="J261" s="414">
        <v>2</v>
      </c>
      <c r="K261" s="414">
        <v>3</v>
      </c>
      <c r="L261" s="414">
        <v>4</v>
      </c>
      <c r="M261" s="414">
        <v>5</v>
      </c>
      <c r="N261" s="415">
        <v>6</v>
      </c>
      <c r="O261" s="3"/>
      <c r="P261" s="3"/>
    </row>
    <row r="262" spans="1:16" ht="13.5" hidden="1" thickBot="1">
      <c r="A262" s="4" t="str">
        <f>Translations!$B$1507</f>
        <v>ausblenden</v>
      </c>
      <c r="B262" s="3"/>
      <c r="C262" s="3"/>
      <c r="D262" s="3"/>
      <c r="E262" s="3"/>
      <c r="F262" s="3"/>
      <c r="G262" s="3"/>
      <c r="H262" s="3"/>
      <c r="I262" s="30"/>
      <c r="J262" s="369"/>
      <c r="K262" s="369"/>
      <c r="L262" s="30"/>
      <c r="M262" s="30"/>
      <c r="N262" s="30"/>
      <c r="O262" s="3"/>
      <c r="P262" s="3"/>
    </row>
    <row r="263" spans="1:16" ht="13.5" hidden="1" thickBot="1">
      <c r="A263" s="4" t="str">
        <f>Translations!$B$1507</f>
        <v>ausblenden</v>
      </c>
      <c r="B263" s="3"/>
      <c r="C263" s="3"/>
      <c r="D263" s="3"/>
      <c r="E263" s="30" t="str">
        <f>Translations!$B$1555</f>
        <v>CNTR_HasEntries_A_I:</v>
      </c>
      <c r="F263" s="3"/>
      <c r="G263" s="208" t="b">
        <f>COUNTA(E13,L15,E20)&gt;0</f>
        <v>0</v>
      </c>
      <c r="H263" s="3" t="str">
        <f>Translations!$B$1556</f>
        <v>Used for formatting and Error messages.</v>
      </c>
      <c r="I263" s="30"/>
      <c r="J263" s="369"/>
      <c r="K263" s="369"/>
      <c r="L263" s="30"/>
      <c r="M263" s="30"/>
      <c r="N263" s="30"/>
      <c r="O263" s="3"/>
      <c r="P263" s="3"/>
    </row>
    <row r="264" spans="1:16" ht="13.5" hidden="1" thickBot="1">
      <c r="A264" s="4" t="str">
        <f>Translations!$B$1507</f>
        <v>ausblenden</v>
      </c>
      <c r="B264" s="3"/>
      <c r="C264" s="3"/>
      <c r="D264" s="3"/>
      <c r="E264" s="30" t="str">
        <f>Translations!$B$1557</f>
        <v>CNTR_HasEntries_A_II:</v>
      </c>
      <c r="F264" s="3"/>
      <c r="G264" s="208" t="b">
        <f>(COUNTA(J36,J39,J42,J44,J49,J57,J60,J61,J64,J65,J69,J70,J71,J72,J73,J74,J75,J76,J77,J80,J81,J82,J83,J89,J90,J91)+COUNTA(J92,J95,J96,J97,J98,F105,F106,F107,F108,F109,L119,L120,L132))&gt;0</f>
        <v>0</v>
      </c>
      <c r="H264" s="3" t="str">
        <f>Translations!$B$1556</f>
        <v>Used for formatting and Error messages.</v>
      </c>
      <c r="I264" s="30"/>
      <c r="J264" s="30"/>
      <c r="K264" s="30"/>
      <c r="L264" s="30"/>
      <c r="M264" s="30"/>
      <c r="N264" s="30"/>
      <c r="O264" s="3"/>
      <c r="P264" s="3"/>
    </row>
    <row r="265" spans="1:16" ht="12.75" hidden="1">
      <c r="A265" s="4" t="str">
        <f>Translations!$B$1507</f>
        <v>ausblenden</v>
      </c>
      <c r="B265" s="3"/>
      <c r="C265" s="3"/>
      <c r="D265" s="3"/>
      <c r="E265" s="3"/>
      <c r="F265" s="3"/>
      <c r="G265" s="3"/>
      <c r="H265" s="3"/>
      <c r="I265" s="30"/>
      <c r="J265" s="30"/>
      <c r="K265" s="30"/>
      <c r="L265" s="30"/>
      <c r="M265" s="30"/>
      <c r="N265" s="30"/>
      <c r="O265" s="3"/>
      <c r="P265" s="3"/>
    </row>
    <row r="266" spans="1:16" ht="12.75" hidden="1">
      <c r="A266" s="4" t="str">
        <f>Translations!$B$1507</f>
        <v>ausblenden</v>
      </c>
      <c r="B266" s="3"/>
      <c r="C266" s="3"/>
      <c r="D266" s="3"/>
      <c r="E266" s="3"/>
      <c r="F266" s="3"/>
      <c r="G266" s="3"/>
      <c r="H266" s="3"/>
      <c r="I266" s="30"/>
      <c r="J266" s="30"/>
      <c r="K266" s="30"/>
      <c r="L266" s="30"/>
      <c r="M266" s="30"/>
      <c r="N266" s="30"/>
      <c r="O266" s="3"/>
      <c r="P266" s="3"/>
    </row>
    <row r="267" spans="1:16" ht="12.75" hidden="1">
      <c r="A267" s="4" t="str">
        <f>Translations!$B$1507</f>
        <v>ausblenden</v>
      </c>
      <c r="B267" s="3"/>
      <c r="C267" s="3"/>
      <c r="D267" s="3"/>
      <c r="E267" s="3" t="str">
        <f>Translations!$B$1558</f>
        <v>For formatting of capacity list:</v>
      </c>
      <c r="F267" s="3"/>
      <c r="G267" s="3"/>
      <c r="H267" s="3"/>
      <c r="I267" s="3"/>
      <c r="J267" s="3"/>
      <c r="K267" s="3"/>
      <c r="L267" s="3"/>
      <c r="M267" s="3"/>
      <c r="N267" s="3"/>
      <c r="O267" s="3"/>
      <c r="P267" s="3"/>
    </row>
    <row r="268" spans="1:16" ht="12.75" hidden="1">
      <c r="A268" s="4" t="str">
        <f>Translations!$B$1507</f>
        <v>ausblenden</v>
      </c>
      <c r="B268" s="3"/>
      <c r="C268" s="3"/>
      <c r="D268" s="3"/>
      <c r="E268" s="3" t="str">
        <f>Translations!$B$1559</f>
        <v>CNTR_ExistSubInstEntries</v>
      </c>
      <c r="F268" s="3"/>
      <c r="G268" s="31" t="e">
        <f>(COUNTIF(#REF!,"")&lt;16)</f>
        <v>#REF!</v>
      </c>
      <c r="H268" s="3"/>
      <c r="I268" s="3"/>
      <c r="J268" s="196"/>
      <c r="K268" s="3"/>
      <c r="L268" s="3"/>
      <c r="M268" s="3"/>
      <c r="N268" s="3"/>
      <c r="O268" s="3"/>
      <c r="P268" s="3"/>
    </row>
    <row r="269" spans="1:16" ht="12.75" hidden="1">
      <c r="A269" s="4" t="str">
        <f>Translations!$B$1507</f>
        <v>ausblenden</v>
      </c>
      <c r="B269" s="3"/>
      <c r="C269" s="3"/>
      <c r="D269" s="3"/>
      <c r="E269" s="3"/>
      <c r="F269" s="3"/>
      <c r="G269" s="3"/>
      <c r="H269" s="3"/>
      <c r="I269" s="3"/>
      <c r="J269" s="3"/>
      <c r="K269" s="3"/>
      <c r="L269" s="3"/>
      <c r="M269" s="3"/>
      <c r="N269" s="3"/>
      <c r="O269" s="3"/>
      <c r="P269" s="3"/>
    </row>
    <row r="270" spans="1:16" ht="13.5" hidden="1" thickBot="1">
      <c r="A270" s="4" t="str">
        <f>Translations!$B$1507</f>
        <v>ausblenden</v>
      </c>
      <c r="B270" s="3"/>
      <c r="C270" s="3"/>
      <c r="D270" s="3"/>
      <c r="E270" s="30" t="str">
        <f>Translations!$B$1560</f>
        <v>List of technical connections for drop-downlists:</v>
      </c>
      <c r="F270" s="3"/>
      <c r="G270" s="3"/>
      <c r="H270" s="3"/>
      <c r="I270" s="3"/>
      <c r="J270" s="3"/>
      <c r="K270" s="3"/>
      <c r="L270" s="3"/>
      <c r="M270" s="3"/>
      <c r="N270" s="3"/>
      <c r="O270" s="3"/>
      <c r="P270" s="3"/>
    </row>
    <row r="271" spans="1:16" ht="12.75" hidden="1">
      <c r="A271" s="4" t="str">
        <f>Translations!$B$1507</f>
        <v>ausblenden</v>
      </c>
      <c r="B271" s="3"/>
      <c r="C271" s="3"/>
      <c r="D271" s="3"/>
      <c r="E271" s="51"/>
      <c r="F271" s="49" t="str">
        <f>Translations!$B$1561</f>
        <v>sorted line</v>
      </c>
      <c r="G271" s="54" t="str">
        <f>Translations!$B$1562</f>
        <v>interim value</v>
      </c>
      <c r="H271" s="49" t="str">
        <f>Translations!$B$1563</f>
        <v>Name of Transfer Entity</v>
      </c>
      <c r="I271" s="49"/>
      <c r="J271" s="227" t="str">
        <f>Translations!$B$1564</f>
        <v>CITL-List</v>
      </c>
      <c r="K271" s="227" t="str">
        <f>Translations!$B$458</f>
        <v>Type of entity</v>
      </c>
      <c r="L271" s="57"/>
      <c r="M271" s="49"/>
      <c r="N271" s="50"/>
      <c r="O271" s="3"/>
      <c r="P271" s="3"/>
    </row>
    <row r="272" spans="1:16" ht="12.75" hidden="1">
      <c r="A272" s="4" t="str">
        <f>Translations!$B$1507</f>
        <v>ausblenden</v>
      </c>
      <c r="B272" s="3"/>
      <c r="C272" s="3"/>
      <c r="D272" s="3"/>
      <c r="E272" s="61">
        <v>0</v>
      </c>
      <c r="F272" s="62"/>
      <c r="G272" s="63"/>
      <c r="H272" s="64" t="str">
        <f>EUconst_WithinInst</f>
        <v>Within installation</v>
      </c>
      <c r="I272" s="62"/>
      <c r="J272" s="23"/>
      <c r="K272" s="23"/>
      <c r="L272" s="60"/>
      <c r="M272" s="62"/>
      <c r="N272" s="65"/>
      <c r="O272" s="3"/>
      <c r="P272" s="3"/>
    </row>
    <row r="273" spans="1:16" ht="12.75" hidden="1">
      <c r="A273" s="4" t="str">
        <f>Translations!$B$1507</f>
        <v>ausblenden</v>
      </c>
      <c r="B273" s="3"/>
      <c r="C273" s="3"/>
      <c r="D273" s="3"/>
      <c r="E273" s="52">
        <v>1</v>
      </c>
      <c r="F273" s="42" t="str">
        <f aca="true" t="shared" si="3" ref="F273:F282">IF(ISNUMBER(MATCH($E273,$R$160:$R$169,0)),MATCH($E273,$R$160:$R$169,0),EUconst_NA)</f>
        <v>N.A.</v>
      </c>
      <c r="G273" s="55" t="str">
        <f aca="true" t="shared" si="4" ref="G273:G282">IF(AND(ISNUMBER($F273),NOT(ISBLANK(INDEX($K$160:$K$169,$F273)))),INDEX(EUconst_ConnectionShortTypes,MATCH(INDEX($K$160:$K$169,$F273),EUconst_ConnectionTypes,0)),EUconst_NA)</f>
        <v>N.A.</v>
      </c>
      <c r="H273" s="43" t="str">
        <f aca="true" t="shared" si="5" ref="H273:H282">IF(NOT(ISNUMBER(F273)),EUconst_NA,CONCATENATE(INDEX($F$160:$F$169,$F273),": ",G273," ",IF(ISBLANK(INDEX($M$160:$M$169,$F273)),EUconst_NA,INDEX($M$160:$M$169,$F273))))</f>
        <v>N.A.</v>
      </c>
      <c r="I273" s="3"/>
      <c r="J273" s="225">
        <f>IF(ISNUMBER($F273),IF(ISBLANK(INDEX($F$176:$F$185,$F273)),"",INDEX($F$176:$F$185,$F273)),"")</f>
      </c>
      <c r="K273" s="225">
        <f>IF(ISNUMBER($F273),IF(ISBLANK(INDEX($I$160:$I$169,$F273)),"",INDEX($I$160:$I$169,$F273)),"")</f>
      </c>
      <c r="L273" s="58"/>
      <c r="M273" s="3"/>
      <c r="N273" s="44"/>
      <c r="O273" s="3"/>
      <c r="P273" s="3"/>
    </row>
    <row r="274" spans="1:16" ht="12.75" hidden="1">
      <c r="A274" s="4" t="str">
        <f>Translations!$B$1507</f>
        <v>ausblenden</v>
      </c>
      <c r="B274" s="3"/>
      <c r="C274" s="3"/>
      <c r="D274" s="3"/>
      <c r="E274" s="52">
        <f>E273+1</f>
        <v>2</v>
      </c>
      <c r="F274" s="42" t="str">
        <f t="shared" si="3"/>
        <v>N.A.</v>
      </c>
      <c r="G274" s="55" t="str">
        <f t="shared" si="4"/>
        <v>N.A.</v>
      </c>
      <c r="H274" s="43" t="str">
        <f t="shared" si="5"/>
        <v>N.A.</v>
      </c>
      <c r="I274" s="3"/>
      <c r="J274" s="225">
        <f aca="true" t="shared" si="6" ref="J274:J282">IF(ISNUMBER($F274),IF(ISBLANK(INDEX($F$176:$F$185,$F274)),"",INDEX($F$176:$F$185,$F274)),"")</f>
      </c>
      <c r="K274" s="225">
        <f aca="true" t="shared" si="7" ref="K274:K282">IF(ISNUMBER($F274),IF(ISBLANK(INDEX($I$160:$I$169,$F274)),"",INDEX($I$160:$I$169,$F274)),"")</f>
      </c>
      <c r="L274" s="58"/>
      <c r="M274" s="3"/>
      <c r="N274" s="44"/>
      <c r="O274" s="3"/>
      <c r="P274" s="3"/>
    </row>
    <row r="275" spans="1:16" ht="12.75" hidden="1">
      <c r="A275" s="4" t="str">
        <f>Translations!$B$1507</f>
        <v>ausblenden</v>
      </c>
      <c r="B275" s="3"/>
      <c r="C275" s="3"/>
      <c r="D275" s="3"/>
      <c r="E275" s="52">
        <f aca="true" t="shared" si="8" ref="E275:E282">E274+1</f>
        <v>3</v>
      </c>
      <c r="F275" s="42" t="str">
        <f t="shared" si="3"/>
        <v>N.A.</v>
      </c>
      <c r="G275" s="55" t="str">
        <f t="shared" si="4"/>
        <v>N.A.</v>
      </c>
      <c r="H275" s="43" t="str">
        <f t="shared" si="5"/>
        <v>N.A.</v>
      </c>
      <c r="I275" s="3"/>
      <c r="J275" s="225">
        <f t="shared" si="6"/>
      </c>
      <c r="K275" s="225">
        <f t="shared" si="7"/>
      </c>
      <c r="L275" s="58"/>
      <c r="M275" s="3"/>
      <c r="N275" s="44"/>
      <c r="O275" s="3"/>
      <c r="P275" s="3"/>
    </row>
    <row r="276" spans="1:16" ht="12.75" hidden="1">
      <c r="A276" s="4" t="str">
        <f>Translations!$B$1507</f>
        <v>ausblenden</v>
      </c>
      <c r="B276" s="3"/>
      <c r="C276" s="3"/>
      <c r="D276" s="3"/>
      <c r="E276" s="52">
        <f t="shared" si="8"/>
        <v>4</v>
      </c>
      <c r="F276" s="42" t="str">
        <f t="shared" si="3"/>
        <v>N.A.</v>
      </c>
      <c r="G276" s="55" t="str">
        <f t="shared" si="4"/>
        <v>N.A.</v>
      </c>
      <c r="H276" s="43" t="str">
        <f t="shared" si="5"/>
        <v>N.A.</v>
      </c>
      <c r="I276" s="3"/>
      <c r="J276" s="225">
        <f t="shared" si="6"/>
      </c>
      <c r="K276" s="225">
        <f t="shared" si="7"/>
      </c>
      <c r="L276" s="58"/>
      <c r="M276" s="3"/>
      <c r="N276" s="44"/>
      <c r="O276" s="3"/>
      <c r="P276" s="3"/>
    </row>
    <row r="277" spans="1:16" ht="12.75" hidden="1">
      <c r="A277" s="4" t="str">
        <f>Translations!$B$1507</f>
        <v>ausblenden</v>
      </c>
      <c r="B277" s="3"/>
      <c r="C277" s="3"/>
      <c r="D277" s="3"/>
      <c r="E277" s="52">
        <f t="shared" si="8"/>
        <v>5</v>
      </c>
      <c r="F277" s="42" t="str">
        <f t="shared" si="3"/>
        <v>N.A.</v>
      </c>
      <c r="G277" s="55" t="str">
        <f t="shared" si="4"/>
        <v>N.A.</v>
      </c>
      <c r="H277" s="43" t="str">
        <f t="shared" si="5"/>
        <v>N.A.</v>
      </c>
      <c r="I277" s="3"/>
      <c r="J277" s="225">
        <f t="shared" si="6"/>
      </c>
      <c r="K277" s="225">
        <f t="shared" si="7"/>
      </c>
      <c r="L277" s="58"/>
      <c r="M277" s="3"/>
      <c r="N277" s="44"/>
      <c r="O277" s="3"/>
      <c r="P277" s="3"/>
    </row>
    <row r="278" spans="1:16" ht="12.75" hidden="1">
      <c r="A278" s="4" t="str">
        <f>Translations!$B$1507</f>
        <v>ausblenden</v>
      </c>
      <c r="B278" s="3"/>
      <c r="C278" s="3"/>
      <c r="D278" s="3"/>
      <c r="E278" s="52">
        <f t="shared" si="8"/>
        <v>6</v>
      </c>
      <c r="F278" s="42" t="str">
        <f t="shared" si="3"/>
        <v>N.A.</v>
      </c>
      <c r="G278" s="55" t="str">
        <f t="shared" si="4"/>
        <v>N.A.</v>
      </c>
      <c r="H278" s="43" t="str">
        <f t="shared" si="5"/>
        <v>N.A.</v>
      </c>
      <c r="I278" s="3"/>
      <c r="J278" s="225">
        <f t="shared" si="6"/>
      </c>
      <c r="K278" s="225">
        <f t="shared" si="7"/>
      </c>
      <c r="L278" s="58"/>
      <c r="M278" s="3"/>
      <c r="N278" s="44"/>
      <c r="O278" s="3"/>
      <c r="P278" s="3"/>
    </row>
    <row r="279" spans="1:16" ht="12.75" hidden="1">
      <c r="A279" s="4" t="str">
        <f>Translations!$B$1507</f>
        <v>ausblenden</v>
      </c>
      <c r="B279" s="3"/>
      <c r="C279" s="3"/>
      <c r="D279" s="3"/>
      <c r="E279" s="52">
        <f t="shared" si="8"/>
        <v>7</v>
      </c>
      <c r="F279" s="42" t="str">
        <f t="shared" si="3"/>
        <v>N.A.</v>
      </c>
      <c r="G279" s="55" t="str">
        <f t="shared" si="4"/>
        <v>N.A.</v>
      </c>
      <c r="H279" s="43" t="str">
        <f t="shared" si="5"/>
        <v>N.A.</v>
      </c>
      <c r="I279" s="3"/>
      <c r="J279" s="225">
        <f t="shared" si="6"/>
      </c>
      <c r="K279" s="225">
        <f t="shared" si="7"/>
      </c>
      <c r="L279" s="58"/>
      <c r="M279" s="3"/>
      <c r="N279" s="44"/>
      <c r="O279" s="3"/>
      <c r="P279" s="3"/>
    </row>
    <row r="280" spans="1:16" ht="12.75" hidden="1">
      <c r="A280" s="4" t="str">
        <f>Translations!$B$1507</f>
        <v>ausblenden</v>
      </c>
      <c r="B280" s="3"/>
      <c r="C280" s="3"/>
      <c r="D280" s="3"/>
      <c r="E280" s="52">
        <f t="shared" si="8"/>
        <v>8</v>
      </c>
      <c r="F280" s="42" t="str">
        <f t="shared" si="3"/>
        <v>N.A.</v>
      </c>
      <c r="G280" s="55" t="str">
        <f t="shared" si="4"/>
        <v>N.A.</v>
      </c>
      <c r="H280" s="43" t="str">
        <f t="shared" si="5"/>
        <v>N.A.</v>
      </c>
      <c r="I280" s="3"/>
      <c r="J280" s="225">
        <f t="shared" si="6"/>
      </c>
      <c r="K280" s="225">
        <f t="shared" si="7"/>
      </c>
      <c r="L280" s="58"/>
      <c r="M280" s="3"/>
      <c r="N280" s="44"/>
      <c r="O280" s="3"/>
      <c r="P280" s="3"/>
    </row>
    <row r="281" spans="1:16" ht="12.75" hidden="1">
      <c r="A281" s="4" t="str">
        <f>Translations!$B$1507</f>
        <v>ausblenden</v>
      </c>
      <c r="B281" s="3"/>
      <c r="C281" s="3"/>
      <c r="D281" s="3"/>
      <c r="E281" s="52">
        <f t="shared" si="8"/>
        <v>9</v>
      </c>
      <c r="F281" s="42" t="str">
        <f t="shared" si="3"/>
        <v>N.A.</v>
      </c>
      <c r="G281" s="55" t="str">
        <f t="shared" si="4"/>
        <v>N.A.</v>
      </c>
      <c r="H281" s="43" t="str">
        <f t="shared" si="5"/>
        <v>N.A.</v>
      </c>
      <c r="I281" s="3"/>
      <c r="J281" s="225">
        <f t="shared" si="6"/>
      </c>
      <c r="K281" s="225">
        <f t="shared" si="7"/>
      </c>
      <c r="L281" s="58"/>
      <c r="M281" s="3"/>
      <c r="N281" s="44"/>
      <c r="O281" s="3"/>
      <c r="P281" s="3"/>
    </row>
    <row r="282" spans="1:16" ht="13.5" hidden="1" thickBot="1">
      <c r="A282" s="4" t="str">
        <f>Translations!$B$1507</f>
        <v>ausblenden</v>
      </c>
      <c r="B282" s="3"/>
      <c r="C282" s="3"/>
      <c r="D282" s="3"/>
      <c r="E282" s="53">
        <f t="shared" si="8"/>
        <v>10</v>
      </c>
      <c r="F282" s="45" t="str">
        <f t="shared" si="3"/>
        <v>N.A.</v>
      </c>
      <c r="G282" s="56" t="str">
        <f t="shared" si="4"/>
        <v>N.A.</v>
      </c>
      <c r="H282" s="46" t="str">
        <f t="shared" si="5"/>
        <v>N.A.</v>
      </c>
      <c r="I282" s="47"/>
      <c r="J282" s="226">
        <f t="shared" si="6"/>
      </c>
      <c r="K282" s="226">
        <f t="shared" si="7"/>
      </c>
      <c r="L282" s="59"/>
      <c r="M282" s="47"/>
      <c r="N282" s="48"/>
      <c r="O282" s="3"/>
      <c r="P282" s="3"/>
    </row>
    <row r="283" spans="1:16" ht="12.75" hidden="1">
      <c r="A283" s="4" t="str">
        <f>Translations!$B$1507</f>
        <v>ausblenden</v>
      </c>
      <c r="B283" s="3"/>
      <c r="C283" s="3"/>
      <c r="D283" s="3"/>
      <c r="E283" s="3"/>
      <c r="F283" s="3"/>
      <c r="G283" s="3"/>
      <c r="H283" s="3"/>
      <c r="I283" s="3"/>
      <c r="J283" s="3"/>
      <c r="K283" s="3"/>
      <c r="L283" s="3"/>
      <c r="M283" s="3"/>
      <c r="N283" s="3"/>
      <c r="O283" s="3"/>
      <c r="P283" s="3"/>
    </row>
    <row r="284" spans="1:16" ht="12.75" hidden="1">
      <c r="A284" s="4" t="str">
        <f>Translations!$B$1507</f>
        <v>ausblenden</v>
      </c>
      <c r="B284" s="3"/>
      <c r="C284" s="3"/>
      <c r="D284" s="3"/>
      <c r="E284" s="3" t="str">
        <f>Translations!$B$1565</f>
        <v>For formatting of connection list:</v>
      </c>
      <c r="F284" s="3"/>
      <c r="G284" s="3"/>
      <c r="H284" s="3"/>
      <c r="I284" s="3"/>
      <c r="J284" s="3"/>
      <c r="K284" s="3"/>
      <c r="L284" s="3"/>
      <c r="M284" s="3"/>
      <c r="N284" s="3"/>
      <c r="O284" s="3"/>
      <c r="P284" s="3"/>
    </row>
    <row r="285" spans="1:16" ht="12.75" hidden="1">
      <c r="A285" s="4" t="str">
        <f>Translations!$B$1507</f>
        <v>ausblenden</v>
      </c>
      <c r="B285" s="3"/>
      <c r="C285" s="3"/>
      <c r="D285" s="3"/>
      <c r="E285" s="3" t="str">
        <f>Translations!$B$1566</f>
        <v>CNTR_ExistConnectionEntries</v>
      </c>
      <c r="F285" s="3"/>
      <c r="G285" s="31" t="b">
        <f>COUNTA($F$160:$F$169)&gt;0</f>
        <v>0</v>
      </c>
      <c r="H285" s="3"/>
      <c r="I285" s="3"/>
      <c r="J285" s="3"/>
      <c r="K285" s="3"/>
      <c r="L285" s="3"/>
      <c r="M285" s="3"/>
      <c r="N285" s="3"/>
      <c r="O285" s="3"/>
      <c r="P285" s="3"/>
    </row>
    <row r="286" spans="1:16" ht="12.75" hidden="1">
      <c r="A286" s="4" t="str">
        <f>Translations!$B$1507</f>
        <v>ausblenden</v>
      </c>
      <c r="B286" s="3"/>
      <c r="C286" s="3"/>
      <c r="D286" s="3"/>
      <c r="E286" s="3"/>
      <c r="F286" s="3"/>
      <c r="G286" s="3"/>
      <c r="H286" s="3"/>
      <c r="I286" s="3"/>
      <c r="J286" s="3"/>
      <c r="K286" s="3"/>
      <c r="L286" s="3"/>
      <c r="M286" s="3"/>
      <c r="N286" s="3"/>
      <c r="O286" s="3"/>
      <c r="P286" s="3"/>
    </row>
    <row r="287" spans="1:16" ht="12.75" hidden="1">
      <c r="A287" s="4" t="str">
        <f>Translations!$B$1507</f>
        <v>ausblenden</v>
      </c>
      <c r="B287" s="3"/>
      <c r="C287" s="3"/>
      <c r="D287" s="3"/>
      <c r="E287" s="3"/>
      <c r="F287" s="3"/>
      <c r="G287" s="3"/>
      <c r="H287" s="3"/>
      <c r="I287" s="3"/>
      <c r="J287" s="3"/>
      <c r="K287" s="3"/>
      <c r="L287" s="3"/>
      <c r="M287" s="3"/>
      <c r="N287" s="3"/>
      <c r="O287" s="3"/>
      <c r="P287" s="3"/>
    </row>
    <row r="320" ht="12.75"/>
  </sheetData>
  <sheetProtection sheet="1" objects="1" scenarios="1" formatCells="0" formatColumns="0" formatRows="0"/>
  <mergeCells count="339">
    <mergeCell ref="E201:N201"/>
    <mergeCell ref="J203:N203"/>
    <mergeCell ref="J204:N204"/>
    <mergeCell ref="J205:N205"/>
    <mergeCell ref="F203:I203"/>
    <mergeCell ref="F204:I204"/>
    <mergeCell ref="F205:I205"/>
    <mergeCell ref="D32:N32"/>
    <mergeCell ref="E236:I236"/>
    <mergeCell ref="F208:I208"/>
    <mergeCell ref="J208:N208"/>
    <mergeCell ref="F209:I209"/>
    <mergeCell ref="J209:N209"/>
    <mergeCell ref="F210:I210"/>
    <mergeCell ref="J210:N210"/>
    <mergeCell ref="E213:N213"/>
    <mergeCell ref="E132:K132"/>
    <mergeCell ref="E128:N128"/>
    <mergeCell ref="E122:K122"/>
    <mergeCell ref="F130:N130"/>
    <mergeCell ref="F129:N129"/>
    <mergeCell ref="F131:N131"/>
    <mergeCell ref="L132:M132"/>
    <mergeCell ref="E127:N127"/>
    <mergeCell ref="K3:L3"/>
    <mergeCell ref="G2:H2"/>
    <mergeCell ref="M4:N4"/>
    <mergeCell ref="M3:N3"/>
    <mergeCell ref="I3:J3"/>
    <mergeCell ref="M2:N2"/>
    <mergeCell ref="I2:J2"/>
    <mergeCell ref="I4:J4"/>
    <mergeCell ref="G4:H4"/>
    <mergeCell ref="J69:N69"/>
    <mergeCell ref="J70:N70"/>
    <mergeCell ref="F109:N109"/>
    <mergeCell ref="G89:I89"/>
    <mergeCell ref="G81:I81"/>
    <mergeCell ref="E86:N86"/>
    <mergeCell ref="E88:N88"/>
    <mergeCell ref="J83:N83"/>
    <mergeCell ref="G83:I83"/>
    <mergeCell ref="G76:I76"/>
    <mergeCell ref="G72:I72"/>
    <mergeCell ref="J72:N72"/>
    <mergeCell ref="G71:I71"/>
    <mergeCell ref="G73:I73"/>
    <mergeCell ref="J73:N73"/>
    <mergeCell ref="J71:N71"/>
    <mergeCell ref="J44:N44"/>
    <mergeCell ref="D6:N6"/>
    <mergeCell ref="E4:F4"/>
    <mergeCell ref="E36:I36"/>
    <mergeCell ref="J36:N36"/>
    <mergeCell ref="K4:L4"/>
    <mergeCell ref="D34:N34"/>
    <mergeCell ref="E37:N37"/>
    <mergeCell ref="E42:I42"/>
    <mergeCell ref="B2:D4"/>
    <mergeCell ref="E45:N45"/>
    <mergeCell ref="E46:N46"/>
    <mergeCell ref="E49:I49"/>
    <mergeCell ref="E3:F3"/>
    <mergeCell ref="E39:I39"/>
    <mergeCell ref="E47:N47"/>
    <mergeCell ref="E40:N40"/>
    <mergeCell ref="E44:I44"/>
    <mergeCell ref="E15:K15"/>
    <mergeCell ref="J39:N39"/>
    <mergeCell ref="J49:N49"/>
    <mergeCell ref="F64:I64"/>
    <mergeCell ref="E54:N54"/>
    <mergeCell ref="E52:I52"/>
    <mergeCell ref="E50:N50"/>
    <mergeCell ref="F59:N59"/>
    <mergeCell ref="E56:N56"/>
    <mergeCell ref="J52:N52"/>
    <mergeCell ref="J60:N60"/>
    <mergeCell ref="E55:N55"/>
    <mergeCell ref="E67:N67"/>
    <mergeCell ref="F65:I65"/>
    <mergeCell ref="F57:I57"/>
    <mergeCell ref="J57:N57"/>
    <mergeCell ref="J64:N64"/>
    <mergeCell ref="J61:N61"/>
    <mergeCell ref="F61:I61"/>
    <mergeCell ref="F63:N63"/>
    <mergeCell ref="F60:I60"/>
    <mergeCell ref="J81:N81"/>
    <mergeCell ref="J82:N82"/>
    <mergeCell ref="G80:I80"/>
    <mergeCell ref="J90:N90"/>
    <mergeCell ref="G90:I90"/>
    <mergeCell ref="J65:N65"/>
    <mergeCell ref="E68:N68"/>
    <mergeCell ref="G69:I69"/>
    <mergeCell ref="G70:I70"/>
    <mergeCell ref="G75:I75"/>
    <mergeCell ref="J74:N74"/>
    <mergeCell ref="J76:N76"/>
    <mergeCell ref="E79:N79"/>
    <mergeCell ref="J97:N97"/>
    <mergeCell ref="J92:N92"/>
    <mergeCell ref="J95:N95"/>
    <mergeCell ref="G97:I97"/>
    <mergeCell ref="G92:I92"/>
    <mergeCell ref="J80:N80"/>
    <mergeCell ref="G82:I82"/>
    <mergeCell ref="E113:N113"/>
    <mergeCell ref="G95:I95"/>
    <mergeCell ref="G98:I98"/>
    <mergeCell ref="D100:N100"/>
    <mergeCell ref="J96:N96"/>
    <mergeCell ref="F105:N105"/>
    <mergeCell ref="E103:N103"/>
    <mergeCell ref="F106:N106"/>
    <mergeCell ref="F107:N107"/>
    <mergeCell ref="J98:N98"/>
    <mergeCell ref="F159:H159"/>
    <mergeCell ref="K160:L160"/>
    <mergeCell ref="J77:N77"/>
    <mergeCell ref="G77:I77"/>
    <mergeCell ref="K159:L159"/>
    <mergeCell ref="J91:N91"/>
    <mergeCell ref="F153:N153"/>
    <mergeCell ref="G91:I91"/>
    <mergeCell ref="E94:N94"/>
    <mergeCell ref="G96:I96"/>
    <mergeCell ref="F154:N154"/>
    <mergeCell ref="M181:N181"/>
    <mergeCell ref="M182:N182"/>
    <mergeCell ref="M179:N179"/>
    <mergeCell ref="M180:N180"/>
    <mergeCell ref="J180:L180"/>
    <mergeCell ref="I161:J161"/>
    <mergeCell ref="J175:L175"/>
    <mergeCell ref="E155:N155"/>
    <mergeCell ref="F160:H160"/>
    <mergeCell ref="J179:L179"/>
    <mergeCell ref="J176:L176"/>
    <mergeCell ref="H177:I177"/>
    <mergeCell ref="M167:N167"/>
    <mergeCell ref="F182:G182"/>
    <mergeCell ref="H182:I182"/>
    <mergeCell ref="J182:L182"/>
    <mergeCell ref="E172:N172"/>
    <mergeCell ref="M177:N177"/>
    <mergeCell ref="J181:L181"/>
    <mergeCell ref="F168:H168"/>
    <mergeCell ref="K169:L169"/>
    <mergeCell ref="I168:J168"/>
    <mergeCell ref="M176:N176"/>
    <mergeCell ref="M178:N178"/>
    <mergeCell ref="J178:L178"/>
    <mergeCell ref="H176:I176"/>
    <mergeCell ref="J177:L177"/>
    <mergeCell ref="M175:N175"/>
    <mergeCell ref="F178:G178"/>
    <mergeCell ref="F161:H161"/>
    <mergeCell ref="M169:N169"/>
    <mergeCell ref="I166:J166"/>
    <mergeCell ref="I165:J165"/>
    <mergeCell ref="F166:H166"/>
    <mergeCell ref="K166:L166"/>
    <mergeCell ref="K167:L167"/>
    <mergeCell ref="F167:H167"/>
    <mergeCell ref="I167:J167"/>
    <mergeCell ref="K168:L168"/>
    <mergeCell ref="F169:H169"/>
    <mergeCell ref="I169:J169"/>
    <mergeCell ref="E171:N171"/>
    <mergeCell ref="E173:N173"/>
    <mergeCell ref="H175:I175"/>
    <mergeCell ref="E174:N174"/>
    <mergeCell ref="F148:N148"/>
    <mergeCell ref="M165:N165"/>
    <mergeCell ref="K161:L161"/>
    <mergeCell ref="K164:L164"/>
    <mergeCell ref="K163:L163"/>
    <mergeCell ref="F163:H163"/>
    <mergeCell ref="F165:H165"/>
    <mergeCell ref="I163:J163"/>
    <mergeCell ref="F164:H164"/>
    <mergeCell ref="K165:L165"/>
    <mergeCell ref="F180:G180"/>
    <mergeCell ref="F183:G183"/>
    <mergeCell ref="I162:J162"/>
    <mergeCell ref="K162:L162"/>
    <mergeCell ref="M160:N160"/>
    <mergeCell ref="M161:N161"/>
    <mergeCell ref="I160:J160"/>
    <mergeCell ref="M163:N163"/>
    <mergeCell ref="F176:G176"/>
    <mergeCell ref="F175:G175"/>
    <mergeCell ref="D255:N255"/>
    <mergeCell ref="H180:I180"/>
    <mergeCell ref="H183:I183"/>
    <mergeCell ref="H185:I185"/>
    <mergeCell ref="D220:N220"/>
    <mergeCell ref="D243:N243"/>
    <mergeCell ref="M183:N183"/>
    <mergeCell ref="H184:I184"/>
    <mergeCell ref="M185:N185"/>
    <mergeCell ref="J185:L185"/>
    <mergeCell ref="F185:G185"/>
    <mergeCell ref="F152:N152"/>
    <mergeCell ref="F145:N145"/>
    <mergeCell ref="F162:H162"/>
    <mergeCell ref="M164:N164"/>
    <mergeCell ref="J183:L183"/>
    <mergeCell ref="J184:L184"/>
    <mergeCell ref="F184:G184"/>
    <mergeCell ref="H181:I181"/>
    <mergeCell ref="F177:G177"/>
    <mergeCell ref="E139:N139"/>
    <mergeCell ref="E138:N138"/>
    <mergeCell ref="F150:N150"/>
    <mergeCell ref="F149:N149"/>
    <mergeCell ref="M184:N184"/>
    <mergeCell ref="M168:N168"/>
    <mergeCell ref="F144:N144"/>
    <mergeCell ref="F181:G181"/>
    <mergeCell ref="H178:I178"/>
    <mergeCell ref="F179:G179"/>
    <mergeCell ref="H179:I179"/>
    <mergeCell ref="E140:N140"/>
    <mergeCell ref="M166:N166"/>
    <mergeCell ref="I164:J164"/>
    <mergeCell ref="F143:N143"/>
    <mergeCell ref="E142:N142"/>
    <mergeCell ref="E147:N147"/>
    <mergeCell ref="E151:N151"/>
    <mergeCell ref="F157:N157"/>
    <mergeCell ref="E141:N141"/>
    <mergeCell ref="M159:N159"/>
    <mergeCell ref="I159:J159"/>
    <mergeCell ref="M162:N162"/>
    <mergeCell ref="F146:N146"/>
    <mergeCell ref="E126:N126"/>
    <mergeCell ref="F119:K119"/>
    <mergeCell ref="L122:N122"/>
    <mergeCell ref="E123:N123"/>
    <mergeCell ref="F156:N156"/>
    <mergeCell ref="E137:N137"/>
    <mergeCell ref="E114:N114"/>
    <mergeCell ref="E124:N124"/>
    <mergeCell ref="E111:N111"/>
    <mergeCell ref="E118:N118"/>
    <mergeCell ref="F120:K120"/>
    <mergeCell ref="B85:B98"/>
    <mergeCell ref="B100:B125"/>
    <mergeCell ref="E115:N115"/>
    <mergeCell ref="J89:N89"/>
    <mergeCell ref="D85:N85"/>
    <mergeCell ref="E212:I212"/>
    <mergeCell ref="J212:N212"/>
    <mergeCell ref="E207:I207"/>
    <mergeCell ref="J207:N207"/>
    <mergeCell ref="D192:N192"/>
    <mergeCell ref="D189:N189"/>
    <mergeCell ref="D190:N190"/>
    <mergeCell ref="D191:N191"/>
    <mergeCell ref="E199:I199"/>
    <mergeCell ref="E200:N200"/>
    <mergeCell ref="D197:N197"/>
    <mergeCell ref="E22:N22"/>
    <mergeCell ref="J224:N224"/>
    <mergeCell ref="E226:I226"/>
    <mergeCell ref="J226:N226"/>
    <mergeCell ref="J215:N215"/>
    <mergeCell ref="J216:N216"/>
    <mergeCell ref="J217:N217"/>
    <mergeCell ref="F215:I215"/>
    <mergeCell ref="E116:N116"/>
    <mergeCell ref="F228:I228"/>
    <mergeCell ref="J228:N228"/>
    <mergeCell ref="F229:I229"/>
    <mergeCell ref="J229:N229"/>
    <mergeCell ref="F230:I230"/>
    <mergeCell ref="J230:N230"/>
    <mergeCell ref="F252:I252"/>
    <mergeCell ref="J252:N252"/>
    <mergeCell ref="F253:I253"/>
    <mergeCell ref="J253:N253"/>
    <mergeCell ref="D242:N242"/>
    <mergeCell ref="E245:I245"/>
    <mergeCell ref="J245:N245"/>
    <mergeCell ref="E247:I247"/>
    <mergeCell ref="J247:N247"/>
    <mergeCell ref="F251:I251"/>
    <mergeCell ref="J251:N251"/>
    <mergeCell ref="J249:N249"/>
    <mergeCell ref="J240:N240"/>
    <mergeCell ref="E249:I249"/>
    <mergeCell ref="E240:I240"/>
    <mergeCell ref="D234:N234"/>
    <mergeCell ref="E238:I238"/>
    <mergeCell ref="J238:N238"/>
    <mergeCell ref="J236:N236"/>
    <mergeCell ref="D193:N193"/>
    <mergeCell ref="E194:N194"/>
    <mergeCell ref="E195:N195"/>
    <mergeCell ref="D233:N233"/>
    <mergeCell ref="D219:N219"/>
    <mergeCell ref="E222:I222"/>
    <mergeCell ref="J222:N222"/>
    <mergeCell ref="E224:I224"/>
    <mergeCell ref="F216:I216"/>
    <mergeCell ref="F217:I217"/>
    <mergeCell ref="Y3:Z3"/>
    <mergeCell ref="E19:N19"/>
    <mergeCell ref="E17:N17"/>
    <mergeCell ref="E18:N18"/>
    <mergeCell ref="E20:N20"/>
    <mergeCell ref="F108:N108"/>
    <mergeCell ref="E102:N102"/>
    <mergeCell ref="E11:N11"/>
    <mergeCell ref="J75:N75"/>
    <mergeCell ref="G74:I74"/>
    <mergeCell ref="E26:N26"/>
    <mergeCell ref="S4:T4"/>
    <mergeCell ref="U4:V4"/>
    <mergeCell ref="W4:X4"/>
    <mergeCell ref="E117:N117"/>
    <mergeCell ref="G3:H3"/>
    <mergeCell ref="S3:T3"/>
    <mergeCell ref="U3:V3"/>
    <mergeCell ref="W3:X3"/>
    <mergeCell ref="E112:N112"/>
    <mergeCell ref="Y4:Z4"/>
    <mergeCell ref="E13:N13"/>
    <mergeCell ref="E12:N12"/>
    <mergeCell ref="E23:N23"/>
    <mergeCell ref="K2:L2"/>
    <mergeCell ref="E24:N24"/>
    <mergeCell ref="S2:T2"/>
    <mergeCell ref="U2:V2"/>
    <mergeCell ref="W2:X2"/>
    <mergeCell ref="Y2:Z2"/>
  </mergeCells>
  <conditionalFormatting sqref="F176:G185">
    <cfRule type="expression" priority="127" dxfId="39" stopIfTrue="1">
      <formula>AND(CNTR_ExistConnectionEntries,ISBLANK($F160))</formula>
    </cfRule>
    <cfRule type="expression" priority="128" dxfId="29" stopIfTrue="1">
      <formula>($S160=FALSE)</formula>
    </cfRule>
  </conditionalFormatting>
  <conditionalFormatting sqref="H176:N185">
    <cfRule type="expression" priority="129" dxfId="39" stopIfTrue="1">
      <formula>AND(CNTR_ExistConnectionEntries,ISBLANK($F160))</formula>
    </cfRule>
    <cfRule type="expression" priority="130" dxfId="37" stopIfTrue="1">
      <formula>MSconst_RequireConnectedInstContact</formula>
    </cfRule>
    <cfRule type="expression" priority="131" dxfId="37" stopIfTrue="1">
      <formula>($S160=FALSE)</formula>
    </cfRule>
  </conditionalFormatting>
  <conditionalFormatting sqref="J49:N49">
    <cfRule type="expression" priority="134" dxfId="29" stopIfTrue="1">
      <formula>AND(NOT(ISBLANK($J$42)),$J$42=FALSE)</formula>
    </cfRule>
  </conditionalFormatting>
  <conditionalFormatting sqref="J57:N57 J60:N61">
    <cfRule type="expression" priority="135" dxfId="29" stopIfTrue="1">
      <formula>(MSconst_RequirePermitInfo=FALSE)</formula>
    </cfRule>
  </conditionalFormatting>
  <conditionalFormatting sqref="B2:D4">
    <cfRule type="expression" priority="136" dxfId="1" stopIfTrue="1">
      <formula>CNTR_HasErrors_A</formula>
    </cfRule>
  </conditionalFormatting>
  <conditionalFormatting sqref="L15">
    <cfRule type="expression" priority="2795" dxfId="20" stopIfTrue="1">
      <formula>$Z13=TRUE</formula>
    </cfRule>
  </conditionalFormatting>
  <conditionalFormatting sqref="L15">
    <cfRule type="expression" priority="2796" dxfId="20" stopIfTrue="1">
      <formula>$X13=TRUE</formula>
    </cfRule>
  </conditionalFormatting>
  <conditionalFormatting sqref="J212:N212">
    <cfRule type="expression" priority="6" dxfId="29" stopIfTrue="1">
      <formula>AND(NOT(ISBLANK($J$42)),$J$42=FALSE)</formula>
    </cfRule>
  </conditionalFormatting>
  <conditionalFormatting sqref="J226:N226">
    <cfRule type="expression" priority="5" dxfId="29" stopIfTrue="1">
      <formula>AND(NOT(ISBLANK($J$42)),$J$42=FALSE)</formula>
    </cfRule>
  </conditionalFormatting>
  <conditionalFormatting sqref="J249:N249">
    <cfRule type="expression" priority="3" dxfId="29" stopIfTrue="1">
      <formula>AND(NOT(ISBLANK($J$42)),$J$42=FALSE)</formula>
    </cfRule>
  </conditionalFormatting>
  <conditionalFormatting sqref="J209:N209 J204:N204">
    <cfRule type="expression" priority="2" dxfId="28" stopIfTrue="1">
      <formula>$Z204=1</formula>
    </cfRule>
  </conditionalFormatting>
  <conditionalFormatting sqref="J216:N216 J212:N212">
    <cfRule type="expression" priority="1" dxfId="20" stopIfTrue="1">
      <formula>$Z212</formula>
    </cfRule>
  </conditionalFormatting>
  <dataValidations count="9">
    <dataValidation type="list" allowBlank="1" showInputMessage="1" showErrorMessage="1" sqref="L132:M132 J42 J199">
      <formula1>Euconst_TrueFalse</formula1>
    </dataValidation>
    <dataValidation type="list" allowBlank="1" showInputMessage="1" showErrorMessage="1" sqref="I160:I169">
      <formula1>EUconst_ConnectedEntityTypes</formula1>
    </dataValidation>
    <dataValidation type="list" allowBlank="1" showInputMessage="1" showErrorMessage="1" sqref="K160:L169">
      <formula1>EUconst_ConnectionTypes</formula1>
    </dataValidation>
    <dataValidation type="list" allowBlank="1" showInputMessage="1" showErrorMessage="1" sqref="M160:N169">
      <formula1>EUconst_ConnectionTransferTypes</formula1>
    </dataValidation>
    <dataValidation type="list" allowBlank="1" showInputMessage="1" showErrorMessage="1" sqref="E24:N24">
      <formula1>EUconst_ConfirmAllowUseOfData</formula1>
    </dataValidation>
    <dataValidation type="list" allowBlank="1" showInputMessage="1" showErrorMessage="1" sqref="G106:N109 F105:F109">
      <formula1>EUconst_AnnexIActivities</formula1>
    </dataValidation>
    <dataValidation errorStyle="warning" type="textLength" operator="equal" allowBlank="1" showInputMessage="1" showErrorMessage="1" sqref="L119:L120">
      <formula1>4</formula1>
    </dataValidation>
    <dataValidation type="list" allowBlank="1" showInputMessage="1" showErrorMessage="1" sqref="J39:N39">
      <formula1>EUconst_MSlist</formula1>
    </dataValidation>
    <dataValidation type="list" allowBlank="1" showInputMessage="1" showErrorMessage="1" sqref="E13:N13">
      <formula1>EUconst_ConfirmMergerSplit</formula1>
    </dataValidation>
  </dataValidations>
  <hyperlinks>
    <hyperlink ref="E116" r:id="rId1" display="http://ec.europa.eu/eurostat/ramon/nomenclatures/index.cfm?TargetUrl=LST_CLS_DLD&amp;StrNom=NACE_REV2&amp;StrLanguageCode=EN&amp;StrLayoutCode=HIERARCHIC"/>
    <hyperlink ref="E114" r:id="rId2" display="http://ec.europa.eu/eurostat/ramon/nomenclatures/index.cfm?TargetUrl=LST_CLS_DLD&amp;StrNom=NACE_1_1&amp;StrLanguageCode=EN&amp;StrLayoutCode=HIERARCHIC"/>
    <hyperlink ref="G2:H2" location="JUMP_Coverpage_Top" display="JUMP_Coverpage_Top"/>
  </hyperlinks>
  <printOptions/>
  <pageMargins left="0.7874015748031497" right="0.7874015748031497" top="0.7874015748031497" bottom="0.7874015748031497" header="0.5118110236220472" footer="0.5118110236220472"/>
  <pageSetup fitToHeight="20" fitToWidth="1" horizontalDpi="600" verticalDpi="600" orientation="portrait" paperSize="9" scale="64" r:id="rId5"/>
  <headerFooter alignWithMargins="0">
    <oddHeader>&amp;L&amp;F; &amp;A&amp;R&amp;D; &amp;T</oddHeader>
    <oddFooter>&amp;C&amp;P / &amp;N</oddFooter>
  </headerFooter>
  <rowBreaks count="1" manualBreakCount="1">
    <brk id="134" min="2" max="13" man="1"/>
  </rowBreaks>
  <legacyDrawing r:id="rId4"/>
</worksheet>
</file>

<file path=xl/worksheets/sheet4.xml><?xml version="1.0" encoding="utf-8"?>
<worksheet xmlns="http://schemas.openxmlformats.org/spreadsheetml/2006/main" xmlns:r="http://schemas.openxmlformats.org/officeDocument/2006/relationships">
  <sheetPr codeName="Tabelle19">
    <tabColor rgb="FFFFFF00"/>
  </sheetPr>
  <dimension ref="A1:AA156"/>
  <sheetViews>
    <sheetView zoomScalePageLayoutView="0" workbookViewId="0" topLeftCell="A1">
      <pane ySplit="4" topLeftCell="A5" activePane="bottomLeft" state="frozen"/>
      <selection pane="topLeft" activeCell="F27" sqref="F27:I27"/>
      <selection pane="bottomLeft" activeCell="I2" sqref="I2:J2"/>
    </sheetView>
  </sheetViews>
  <sheetFormatPr defaultColWidth="11.421875" defaultRowHeight="12.75"/>
  <cols>
    <col min="1" max="1" width="4.7109375" style="626" hidden="1" customWidth="1"/>
    <col min="2" max="2" width="2.7109375" style="626" customWidth="1"/>
    <col min="3" max="4" width="4.7109375" style="626" customWidth="1"/>
    <col min="5" max="14" width="12.7109375" style="626" customWidth="1"/>
    <col min="15" max="15" width="4.7109375" style="626" customWidth="1"/>
    <col min="16" max="16" width="21.57421875" style="626" hidden="1" customWidth="1"/>
    <col min="17" max="27" width="11.421875" style="605" hidden="1" customWidth="1"/>
    <col min="28" max="16384" width="11.421875" style="626" customWidth="1"/>
  </cols>
  <sheetData>
    <row r="1" spans="1:27" s="4" customFormat="1" ht="13.5" hidden="1" thickBot="1">
      <c r="A1" s="4" t="str">
        <f>Translations!$B$1507</f>
        <v>ausblenden</v>
      </c>
      <c r="P1" s="370" t="str">
        <f>Translations!$B$1507</f>
        <v>ausblenden</v>
      </c>
      <c r="Q1" s="513" t="str">
        <f>Translations!$B$1507</f>
        <v>ausblenden</v>
      </c>
      <c r="R1" s="513" t="str">
        <f>Translations!$B$1507</f>
        <v>ausblenden</v>
      </c>
      <c r="S1" s="530" t="str">
        <f>Translations!$B$1507</f>
        <v>ausblenden</v>
      </c>
      <c r="T1" s="513" t="str">
        <f>Translations!$B$1507</f>
        <v>ausblenden</v>
      </c>
      <c r="U1" s="513" t="str">
        <f>Translations!$B$1507</f>
        <v>ausblenden</v>
      </c>
      <c r="V1" s="513" t="str">
        <f>Translations!$B$1507</f>
        <v>ausblenden</v>
      </c>
      <c r="W1" s="513" t="str">
        <f>Translations!$B$1507</f>
        <v>ausblenden</v>
      </c>
      <c r="X1" s="513" t="str">
        <f>Translations!$B$1507</f>
        <v>ausblenden</v>
      </c>
      <c r="Y1" s="513" t="str">
        <f>Translations!$B$1507</f>
        <v>ausblenden</v>
      </c>
      <c r="Z1" s="513" t="str">
        <f>Translations!$B$1507</f>
        <v>ausblenden</v>
      </c>
      <c r="AA1" s="513" t="str">
        <f>Translations!$B$1507</f>
        <v>ausblenden</v>
      </c>
    </row>
    <row r="2" spans="1:27" s="614" customFormat="1" ht="13.5" customHeight="1" thickBot="1">
      <c r="A2" s="4"/>
      <c r="B2" s="860" t="str">
        <f>Translations!$B$1567</f>
        <v>B. Initial Situation</v>
      </c>
      <c r="C2" s="861"/>
      <c r="D2" s="862"/>
      <c r="E2" s="205" t="str">
        <f>Translations!$B$276</f>
        <v>Navigation area:</v>
      </c>
      <c r="F2" s="203"/>
      <c r="G2" s="668" t="str">
        <f>Translations!$B$290</f>
        <v>Table of contents</v>
      </c>
      <c r="H2" s="655"/>
      <c r="I2" s="655" t="str">
        <f>HYPERLINK(U2,Translations!$B$291)</f>
        <v>Previous sheet</v>
      </c>
      <c r="J2" s="655"/>
      <c r="K2" s="655" t="str">
        <f>HYPERLINK(W2,Translations!$B$277)</f>
        <v>Next sheet</v>
      </c>
      <c r="L2" s="655"/>
      <c r="M2" s="655" t="str">
        <f>HYPERLINK(Y2,Translations!$B$278)</f>
        <v>Summary</v>
      </c>
      <c r="N2" s="662"/>
      <c r="O2" s="9"/>
      <c r="P2" s="9"/>
      <c r="Q2" s="531" t="s">
        <v>1998</v>
      </c>
      <c r="R2" s="531"/>
      <c r="S2" s="657"/>
      <c r="T2" s="658"/>
      <c r="U2" s="659" t="str">
        <f>"#"&amp;ADDRESS(ROW(C6),COLUMN(C6),,,A_InstallationData!Q3)</f>
        <v>#A_InstallationData!$C$6</v>
      </c>
      <c r="V2" s="658"/>
      <c r="W2" s="659" t="str">
        <f>"#"&amp;ADDRESS(ROW(C6),COLUMN(C6),,,C_MergerSplitTransfer!Q3)</f>
        <v>#C_MergerSplitTransfer!$C$6</v>
      </c>
      <c r="X2" s="658"/>
      <c r="Y2" s="659" t="str">
        <f>"#"&amp;ADDRESS(ROW(C6),COLUMN(C6),,,D_Summary!Q3)</f>
        <v>#D_Summary!$C$6</v>
      </c>
      <c r="Z2" s="660"/>
      <c r="AA2" s="513"/>
    </row>
    <row r="3" spans="1:27" s="614" customFormat="1" ht="13.5" customHeight="1" thickBot="1">
      <c r="A3" s="4"/>
      <c r="B3" s="863"/>
      <c r="C3" s="864"/>
      <c r="D3" s="865"/>
      <c r="E3" s="655" t="str">
        <f>HYPERLINK(R3,Translations!$B$279)</f>
        <v>Top of sheet</v>
      </c>
      <c r="F3" s="703"/>
      <c r="G3" s="669" t="str">
        <f>HYPERLINK(S3,Translations!$B$1500)</f>
        <v>Initial installation 1</v>
      </c>
      <c r="H3" s="670"/>
      <c r="I3" s="705" t="str">
        <f>HYPERLINK(U3,Translations!$B$1501)</f>
        <v>Initial installation 2</v>
      </c>
      <c r="J3" s="670"/>
      <c r="K3" s="705"/>
      <c r="L3" s="670"/>
      <c r="M3" s="705"/>
      <c r="N3" s="670"/>
      <c r="O3" s="9"/>
      <c r="P3" s="9"/>
      <c r="Q3" s="590" t="str">
        <f ca="1">IF(ISERROR(CELL("filename",Q1)),"B_InitialSituation",MID(CELL("filename",Q1),FIND("]",CELL("filename",Q1))+1,1024))</f>
        <v>B_InitialSituation</v>
      </c>
      <c r="R3" s="591" t="str">
        <f>"#"&amp;ADDRESS(ROW(C6),COLUMN(C6))</f>
        <v>#$C$6</v>
      </c>
      <c r="S3" s="728" t="str">
        <f>"#"&amp;ADDRESS(ROW(C10),COLUMN(C10))</f>
        <v>#$C$10</v>
      </c>
      <c r="T3" s="729"/>
      <c r="U3" s="730" t="str">
        <f>"#"&amp;ADDRESS(ROW(C85),COLUMN(C85))</f>
        <v>#$C$85</v>
      </c>
      <c r="V3" s="729"/>
      <c r="W3" s="730"/>
      <c r="X3" s="729"/>
      <c r="Y3" s="730"/>
      <c r="Z3" s="731"/>
      <c r="AA3" s="513"/>
    </row>
    <row r="4" spans="1:27" s="614" customFormat="1" ht="13.5" customHeight="1" thickBot="1">
      <c r="A4" s="4"/>
      <c r="B4" s="866"/>
      <c r="C4" s="867"/>
      <c r="D4" s="868"/>
      <c r="E4" s="655" t="str">
        <f>HYPERLINK(R4,Translations!$B$280)</f>
        <v>End of sheet</v>
      </c>
      <c r="F4" s="655"/>
      <c r="G4" s="711"/>
      <c r="H4" s="712"/>
      <c r="I4" s="713"/>
      <c r="J4" s="712"/>
      <c r="K4" s="713"/>
      <c r="L4" s="712"/>
      <c r="M4" s="713"/>
      <c r="N4" s="712"/>
      <c r="O4" s="9"/>
      <c r="P4" s="9"/>
      <c r="Q4" s="531"/>
      <c r="R4" s="592" t="str">
        <f>"#"&amp;ADDRESS(ROW(D155),COLUMN(D155))</f>
        <v>#$D$155</v>
      </c>
      <c r="S4" s="734"/>
      <c r="T4" s="735"/>
      <c r="U4" s="736"/>
      <c r="V4" s="735"/>
      <c r="W4" s="736"/>
      <c r="X4" s="735"/>
      <c r="Y4" s="736"/>
      <c r="Z4" s="737"/>
      <c r="AA4" s="513"/>
    </row>
    <row r="5" spans="1:27" s="614" customFormat="1" ht="12.75">
      <c r="A5" s="4"/>
      <c r="B5" s="5"/>
      <c r="C5" s="6"/>
      <c r="D5" s="7"/>
      <c r="E5" s="7"/>
      <c r="F5" s="8"/>
      <c r="G5" s="8"/>
      <c r="H5" s="8"/>
      <c r="I5" s="5"/>
      <c r="J5" s="5"/>
      <c r="K5" s="5"/>
      <c r="L5" s="5"/>
      <c r="M5" s="9"/>
      <c r="N5" s="9"/>
      <c r="O5" s="9"/>
      <c r="P5" s="9"/>
      <c r="Q5" s="531"/>
      <c r="R5" s="513"/>
      <c r="S5" s="513"/>
      <c r="T5" s="513"/>
      <c r="U5" s="513"/>
      <c r="V5" s="513"/>
      <c r="W5" s="513"/>
      <c r="X5" s="513"/>
      <c r="Y5" s="513"/>
      <c r="Z5" s="513"/>
      <c r="AA5" s="513"/>
    </row>
    <row r="6" spans="1:27" s="614" customFormat="1" ht="23.25" customHeight="1">
      <c r="A6" s="4"/>
      <c r="B6" s="5"/>
      <c r="C6" s="11" t="s">
        <v>1253</v>
      </c>
      <c r="D6" s="671" t="str">
        <f>Translations!$B$1568</f>
        <v>Sheet "Initial situation"</v>
      </c>
      <c r="E6" s="695"/>
      <c r="F6" s="695"/>
      <c r="G6" s="695"/>
      <c r="H6" s="695"/>
      <c r="I6" s="695"/>
      <c r="J6" s="695"/>
      <c r="K6" s="695"/>
      <c r="L6" s="695"/>
      <c r="M6" s="695"/>
      <c r="N6" s="695"/>
      <c r="O6" s="9"/>
      <c r="P6" s="9"/>
      <c r="Q6" s="513"/>
      <c r="R6" s="513"/>
      <c r="S6" s="513"/>
      <c r="T6" s="513"/>
      <c r="U6" s="513"/>
      <c r="V6" s="513"/>
      <c r="W6" s="513"/>
      <c r="X6" s="513"/>
      <c r="Y6" s="513"/>
      <c r="Z6" s="513"/>
      <c r="AA6" s="513"/>
    </row>
    <row r="7" spans="1:27" s="614" customFormat="1" ht="12.75">
      <c r="A7" s="4"/>
      <c r="B7" s="20"/>
      <c r="C7" s="20"/>
      <c r="D7" s="105"/>
      <c r="E7" s="103"/>
      <c r="F7" s="16"/>
      <c r="G7" s="16"/>
      <c r="H7" s="9"/>
      <c r="I7" s="9"/>
      <c r="J7" s="104"/>
      <c r="K7" s="104"/>
      <c r="L7" s="104"/>
      <c r="M7" s="20"/>
      <c r="N7" s="20"/>
      <c r="O7" s="20"/>
      <c r="P7" s="20"/>
      <c r="Q7" s="513"/>
      <c r="R7" s="513"/>
      <c r="S7" s="513"/>
      <c r="T7" s="513"/>
      <c r="U7" s="513"/>
      <c r="V7" s="513"/>
      <c r="W7" s="513"/>
      <c r="X7" s="513"/>
      <c r="Y7" s="513"/>
      <c r="Z7" s="513"/>
      <c r="AA7" s="513"/>
    </row>
    <row r="8" spans="1:27" s="616" customFormat="1" ht="18" customHeight="1">
      <c r="A8" s="428"/>
      <c r="B8" s="215"/>
      <c r="C8" s="367" t="s">
        <v>81</v>
      </c>
      <c r="D8" s="384" t="str">
        <f>Translations!$B$1569</f>
        <v>Situation BEFORE the merger of installations</v>
      </c>
      <c r="E8" s="384"/>
      <c r="F8" s="384"/>
      <c r="G8" s="384"/>
      <c r="H8" s="384"/>
      <c r="I8" s="384"/>
      <c r="J8" s="384"/>
      <c r="K8" s="384"/>
      <c r="L8" s="384"/>
      <c r="M8" s="384"/>
      <c r="N8" s="384"/>
      <c r="O8" s="216"/>
      <c r="P8" s="216"/>
      <c r="Q8" s="419" t="s">
        <v>1200</v>
      </c>
      <c r="R8" s="419" t="s">
        <v>1200</v>
      </c>
      <c r="S8" s="419" t="s">
        <v>1200</v>
      </c>
      <c r="T8" s="419" t="s">
        <v>1200</v>
      </c>
      <c r="U8" s="419" t="s">
        <v>1200</v>
      </c>
      <c r="V8" s="419" t="s">
        <v>1200</v>
      </c>
      <c r="W8" s="419" t="s">
        <v>1200</v>
      </c>
      <c r="X8" s="419" t="s">
        <v>1200</v>
      </c>
      <c r="Y8" s="419" t="s">
        <v>1200</v>
      </c>
      <c r="Z8" s="419" t="s">
        <v>1200</v>
      </c>
      <c r="AA8" s="419"/>
    </row>
    <row r="9" spans="1:27" s="614" customFormat="1" ht="12.75" customHeight="1" thickBot="1">
      <c r="A9" s="4"/>
      <c r="B9" s="5"/>
      <c r="C9" s="5"/>
      <c r="D9" s="5"/>
      <c r="E9" s="5"/>
      <c r="F9" s="5"/>
      <c r="G9" s="5"/>
      <c r="H9" s="5"/>
      <c r="I9" s="5"/>
      <c r="J9" s="5"/>
      <c r="K9" s="5"/>
      <c r="L9" s="5"/>
      <c r="M9" s="9"/>
      <c r="N9" s="9"/>
      <c r="O9" s="9"/>
      <c r="P9" s="9"/>
      <c r="Q9" s="531"/>
      <c r="R9" s="513"/>
      <c r="S9" s="513"/>
      <c r="T9" s="513"/>
      <c r="U9" s="513"/>
      <c r="V9" s="513"/>
      <c r="W9" s="513"/>
      <c r="X9" s="513"/>
      <c r="Y9" s="513"/>
      <c r="Z9" s="513"/>
      <c r="AA9" s="513"/>
    </row>
    <row r="10" spans="1:27" s="617" customFormat="1" ht="18" customHeight="1" thickBot="1">
      <c r="A10" s="214"/>
      <c r="B10" s="215"/>
      <c r="C10" s="391">
        <v>1</v>
      </c>
      <c r="D10" s="894" t="str">
        <f>Translations!$B$1492&amp;" "&amp;C10&amp;":"</f>
        <v>Installation BEFORE merger, split or transfer 1:</v>
      </c>
      <c r="E10" s="894"/>
      <c r="F10" s="894"/>
      <c r="G10" s="894"/>
      <c r="H10" s="894"/>
      <c r="I10" s="217"/>
      <c r="J10" s="5"/>
      <c r="K10" s="891">
        <f>INDEX(A_InstallationData!$J$188:$J$254,MATCH($C10,A_InstallationData!$R$188:$R$254,0))</f>
      </c>
      <c r="L10" s="892"/>
      <c r="M10" s="892"/>
      <c r="N10" s="893"/>
      <c r="O10" s="393"/>
      <c r="P10" s="383"/>
      <c r="Q10" s="593"/>
      <c r="R10" s="536"/>
      <c r="S10" s="536"/>
      <c r="T10" s="513"/>
      <c r="U10" s="536"/>
      <c r="V10" s="536"/>
      <c r="W10" s="536"/>
      <c r="X10" s="536"/>
      <c r="Y10" s="536"/>
      <c r="Z10" s="538" t="s">
        <v>1034</v>
      </c>
      <c r="AA10" s="513"/>
    </row>
    <row r="11" spans="1:27" s="614" customFormat="1" ht="18" customHeight="1">
      <c r="A11" s="4"/>
      <c r="B11" s="5"/>
      <c r="C11" s="7"/>
      <c r="D11" s="5"/>
      <c r="E11" s="9"/>
      <c r="F11" s="5"/>
      <c r="G11" s="5"/>
      <c r="H11" s="5"/>
      <c r="I11" s="5"/>
      <c r="J11" s="5"/>
      <c r="K11" s="5"/>
      <c r="L11" s="5"/>
      <c r="M11" s="895">
        <f>IF(CNTR_Merger&lt;&gt;TRUE,"",IF(K10="",EUconst_NotRelevant,EUconst_Relevant))</f>
      </c>
      <c r="N11" s="895"/>
      <c r="O11" s="366"/>
      <c r="P11" s="9"/>
      <c r="Q11" s="531"/>
      <c r="R11" s="513"/>
      <c r="S11" s="513"/>
      <c r="T11" s="513"/>
      <c r="U11" s="513"/>
      <c r="V11" s="513"/>
      <c r="W11" s="513"/>
      <c r="X11" s="513"/>
      <c r="Y11" s="513"/>
      <c r="Z11" s="513"/>
      <c r="AA11" s="513"/>
    </row>
    <row r="12" spans="1:27" s="614" customFormat="1" ht="12.75" customHeight="1">
      <c r="A12" s="4"/>
      <c r="B12" s="5"/>
      <c r="C12" s="7"/>
      <c r="D12" s="5"/>
      <c r="E12" s="5"/>
      <c r="F12" s="5"/>
      <c r="G12" s="5"/>
      <c r="H12" s="5"/>
      <c r="I12" s="5"/>
      <c r="J12" s="5"/>
      <c r="K12" s="5"/>
      <c r="L12" s="5"/>
      <c r="M12" s="9"/>
      <c r="N12" s="9"/>
      <c r="O12" s="366"/>
      <c r="P12" s="9"/>
      <c r="Q12" s="531"/>
      <c r="R12" s="513"/>
      <c r="S12" s="513"/>
      <c r="T12" s="513"/>
      <c r="U12" s="513"/>
      <c r="V12" s="513"/>
      <c r="W12" s="513"/>
      <c r="X12" s="513"/>
      <c r="Y12" s="513"/>
      <c r="Z12" s="513"/>
      <c r="AA12" s="513"/>
    </row>
    <row r="13" spans="1:27" s="614" customFormat="1" ht="12.75" customHeight="1">
      <c r="A13" s="4"/>
      <c r="B13" s="5"/>
      <c r="C13" s="5"/>
      <c r="D13" s="197" t="s">
        <v>1680</v>
      </c>
      <c r="E13" s="696" t="str">
        <f>Translations!$B$1570</f>
        <v>Latest final allocation without adjustment factors for any partial cessations</v>
      </c>
      <c r="F13" s="695"/>
      <c r="G13" s="695"/>
      <c r="H13" s="695"/>
      <c r="I13" s="695"/>
      <c r="J13" s="695"/>
      <c r="K13" s="695"/>
      <c r="L13" s="695"/>
      <c r="M13" s="695"/>
      <c r="N13" s="695"/>
      <c r="O13" s="368"/>
      <c r="P13" s="435"/>
      <c r="Q13" s="531"/>
      <c r="R13" s="513"/>
      <c r="S13" s="513"/>
      <c r="T13" s="513"/>
      <c r="U13" s="513"/>
      <c r="V13" s="513"/>
      <c r="W13" s="513"/>
      <c r="X13" s="513"/>
      <c r="Y13" s="513"/>
      <c r="Z13" s="513"/>
      <c r="AA13" s="513"/>
    </row>
    <row r="14" spans="1:27" s="614" customFormat="1" ht="12.75" customHeight="1">
      <c r="A14" s="4"/>
      <c r="B14" s="5"/>
      <c r="C14" s="5"/>
      <c r="D14" s="197"/>
      <c r="E14" s="759" t="str">
        <f>Translations!$B$1571</f>
        <v>Please enter here the latest final total amount of allowances allocated free of charge without the application of adjustment factors in accordance to Article 23 of the CIMs.</v>
      </c>
      <c r="F14" s="674"/>
      <c r="G14" s="674"/>
      <c r="H14" s="674"/>
      <c r="I14" s="674"/>
      <c r="J14" s="674"/>
      <c r="K14" s="674"/>
      <c r="L14" s="674"/>
      <c r="M14" s="674"/>
      <c r="N14" s="674"/>
      <c r="O14" s="368"/>
      <c r="P14" s="375"/>
      <c r="Q14" s="531"/>
      <c r="R14" s="513"/>
      <c r="S14" s="513"/>
      <c r="T14" s="513"/>
      <c r="U14" s="513"/>
      <c r="V14" s="513"/>
      <c r="W14" s="513"/>
      <c r="X14" s="513"/>
      <c r="Y14" s="513"/>
      <c r="Z14" s="513"/>
      <c r="AA14" s="513"/>
    </row>
    <row r="15" spans="1:27" s="614" customFormat="1" ht="12.75" customHeight="1">
      <c r="A15" s="4"/>
      <c r="B15" s="5"/>
      <c r="C15" s="7"/>
      <c r="D15" s="5"/>
      <c r="E15" s="5"/>
      <c r="F15" s="5"/>
      <c r="G15" s="5"/>
      <c r="H15" s="5"/>
      <c r="I15" s="5"/>
      <c r="J15" s="5"/>
      <c r="K15" s="5"/>
      <c r="L15" s="5"/>
      <c r="M15" s="9"/>
      <c r="N15" s="9"/>
      <c r="O15" s="366"/>
      <c r="P15" s="9"/>
      <c r="Q15" s="531"/>
      <c r="R15" s="513"/>
      <c r="S15" s="513"/>
      <c r="T15" s="513"/>
      <c r="U15" s="513"/>
      <c r="V15" s="513"/>
      <c r="W15" s="513"/>
      <c r="X15" s="513"/>
      <c r="Y15" s="513"/>
      <c r="Z15" s="513"/>
      <c r="AA15" s="513"/>
    </row>
    <row r="16" spans="1:27" s="614" customFormat="1" ht="4.5" customHeight="1">
      <c r="A16" s="4"/>
      <c r="B16" s="5"/>
      <c r="C16" s="5"/>
      <c r="D16" s="5"/>
      <c r="E16" s="5"/>
      <c r="F16" s="5"/>
      <c r="G16" s="5"/>
      <c r="H16" s="5"/>
      <c r="I16" s="5"/>
      <c r="J16" s="5"/>
      <c r="K16" s="5"/>
      <c r="L16" s="5"/>
      <c r="M16" s="9"/>
      <c r="N16" s="9"/>
      <c r="O16" s="375"/>
      <c r="P16" s="9"/>
      <c r="Q16" s="531"/>
      <c r="R16" s="513"/>
      <c r="S16" s="513"/>
      <c r="T16" s="513"/>
      <c r="U16" s="513"/>
      <c r="V16" s="513"/>
      <c r="W16" s="513"/>
      <c r="X16" s="513"/>
      <c r="Y16" s="513"/>
      <c r="Z16" s="513"/>
      <c r="AA16" s="513"/>
    </row>
    <row r="17" spans="1:27" s="614" customFormat="1" ht="12.75" customHeight="1" thickBot="1">
      <c r="A17" s="4"/>
      <c r="B17" s="5"/>
      <c r="C17" s="22"/>
      <c r="D17" s="792" t="str">
        <f>Translations!$B$440</f>
        <v>Sub-installation</v>
      </c>
      <c r="E17" s="834"/>
      <c r="F17" s="908"/>
      <c r="G17" s="219">
        <v>2013</v>
      </c>
      <c r="H17" s="219">
        <v>2014</v>
      </c>
      <c r="I17" s="219">
        <v>2015</v>
      </c>
      <c r="J17" s="219">
        <v>2016</v>
      </c>
      <c r="K17" s="219">
        <v>2017</v>
      </c>
      <c r="L17" s="219">
        <v>2018</v>
      </c>
      <c r="M17" s="219">
        <v>2019</v>
      </c>
      <c r="N17" s="219">
        <v>2020</v>
      </c>
      <c r="O17" s="375"/>
      <c r="P17" s="372"/>
      <c r="Q17" s="531"/>
      <c r="R17" s="513"/>
      <c r="S17" s="513"/>
      <c r="T17" s="540" t="s">
        <v>1807</v>
      </c>
      <c r="U17" s="513"/>
      <c r="V17" s="540" t="s">
        <v>1968</v>
      </c>
      <c r="W17" s="513"/>
      <c r="X17" s="541" t="s">
        <v>1971</v>
      </c>
      <c r="Y17" s="513"/>
      <c r="Z17" s="538" t="s">
        <v>1034</v>
      </c>
      <c r="AA17" s="513"/>
    </row>
    <row r="18" spans="1:27" s="614" customFormat="1" ht="12.75" customHeight="1" thickBot="1">
      <c r="A18" s="4"/>
      <c r="B18" s="5"/>
      <c r="C18" s="218">
        <v>0</v>
      </c>
      <c r="D18" s="879" t="str">
        <f>Translations!$B$1447</f>
        <v>Phase before start</v>
      </c>
      <c r="E18" s="880"/>
      <c r="F18" s="881"/>
      <c r="G18" s="606"/>
      <c r="H18" s="606"/>
      <c r="I18" s="606"/>
      <c r="J18" s="606"/>
      <c r="K18" s="606"/>
      <c r="L18" s="606"/>
      <c r="M18" s="606"/>
      <c r="N18" s="606"/>
      <c r="O18" s="375"/>
      <c r="P18" s="372"/>
      <c r="Q18" s="542" t="str">
        <f aca="true" t="shared" si="0" ref="Q18:Q35">EUconst_CNTR_Finitial&amp;$V18&amp;"_"&amp;$D18</f>
        <v>FInitial_1_Phase before start</v>
      </c>
      <c r="R18" s="513"/>
      <c r="S18" s="513"/>
      <c r="T18" s="540"/>
      <c r="U18" s="513"/>
      <c r="V18" s="543">
        <f>C10</f>
        <v>1</v>
      </c>
      <c r="W18" s="513"/>
      <c r="X18" s="539" t="b">
        <f aca="true" t="shared" si="1" ref="X18:X35">COUNT(G18:N18)&gt;0</f>
        <v>0</v>
      </c>
      <c r="Y18" s="513"/>
      <c r="Z18" s="539" t="b">
        <f>M11=EUconst_NotRelevant</f>
        <v>0</v>
      </c>
      <c r="AA18" s="513"/>
    </row>
    <row r="19" spans="1:27" s="614" customFormat="1" ht="12.75" customHeight="1">
      <c r="A19" s="4"/>
      <c r="B19" s="5"/>
      <c r="C19" s="32">
        <v>1</v>
      </c>
      <c r="D19" s="909"/>
      <c r="E19" s="910"/>
      <c r="F19" s="911"/>
      <c r="G19" s="403"/>
      <c r="H19" s="403"/>
      <c r="I19" s="403"/>
      <c r="J19" s="403"/>
      <c r="K19" s="403"/>
      <c r="L19" s="403"/>
      <c r="M19" s="403"/>
      <c r="N19" s="403"/>
      <c r="O19" s="375"/>
      <c r="P19" s="372"/>
      <c r="Q19" s="542" t="str">
        <f t="shared" si="0"/>
        <v>FInitial_1_</v>
      </c>
      <c r="R19" s="513"/>
      <c r="S19" s="513"/>
      <c r="T19" s="543">
        <f>IF(D19="","",MAX($T$18:T18)+1)</f>
      </c>
      <c r="U19" s="513"/>
      <c r="V19" s="544">
        <f aca="true" t="shared" si="2" ref="V19:V35">V18</f>
        <v>1</v>
      </c>
      <c r="W19" s="513"/>
      <c r="X19" s="539" t="b">
        <f t="shared" si="1"/>
        <v>0</v>
      </c>
      <c r="Y19" s="513"/>
      <c r="Z19" s="539" t="b">
        <f aca="true" t="shared" si="3" ref="Z19:Z36">Z18</f>
        <v>0</v>
      </c>
      <c r="AA19" s="513"/>
    </row>
    <row r="20" spans="1:27" s="614" customFormat="1" ht="12.75" customHeight="1">
      <c r="A20" s="4"/>
      <c r="B20" s="5"/>
      <c r="C20" s="32">
        <v>2</v>
      </c>
      <c r="D20" s="802"/>
      <c r="E20" s="810"/>
      <c r="F20" s="811"/>
      <c r="G20" s="402"/>
      <c r="H20" s="402"/>
      <c r="I20" s="402"/>
      <c r="J20" s="402"/>
      <c r="K20" s="402"/>
      <c r="L20" s="402"/>
      <c r="M20" s="402"/>
      <c r="N20" s="402"/>
      <c r="O20" s="375"/>
      <c r="P20" s="372"/>
      <c r="Q20" s="542" t="str">
        <f t="shared" si="0"/>
        <v>FInitial_1_</v>
      </c>
      <c r="R20" s="513"/>
      <c r="S20" s="513"/>
      <c r="T20" s="544">
        <f>IF(D20="","",MAX($T$18:T19)+1)</f>
      </c>
      <c r="U20" s="513"/>
      <c r="V20" s="544">
        <f t="shared" si="2"/>
        <v>1</v>
      </c>
      <c r="W20" s="513"/>
      <c r="X20" s="539" t="b">
        <f t="shared" si="1"/>
        <v>0</v>
      </c>
      <c r="Y20" s="513"/>
      <c r="Z20" s="539" t="b">
        <f t="shared" si="3"/>
        <v>0</v>
      </c>
      <c r="AA20" s="513"/>
    </row>
    <row r="21" spans="1:27" s="614" customFormat="1" ht="12.75" customHeight="1">
      <c r="A21" s="4"/>
      <c r="B21" s="5"/>
      <c r="C21" s="32">
        <v>3</v>
      </c>
      <c r="D21" s="802"/>
      <c r="E21" s="810"/>
      <c r="F21" s="811"/>
      <c r="G21" s="402"/>
      <c r="H21" s="402"/>
      <c r="I21" s="402"/>
      <c r="J21" s="402"/>
      <c r="K21" s="402"/>
      <c r="L21" s="402"/>
      <c r="M21" s="402"/>
      <c r="N21" s="402"/>
      <c r="O21" s="375"/>
      <c r="P21" s="372"/>
      <c r="Q21" s="542" t="str">
        <f t="shared" si="0"/>
        <v>FInitial_1_</v>
      </c>
      <c r="R21" s="513"/>
      <c r="S21" s="513"/>
      <c r="T21" s="544">
        <f>IF(D21="","",MAX($T$18:T20)+1)</f>
      </c>
      <c r="U21" s="513"/>
      <c r="V21" s="544">
        <f t="shared" si="2"/>
        <v>1</v>
      </c>
      <c r="W21" s="513"/>
      <c r="X21" s="539" t="b">
        <f t="shared" si="1"/>
        <v>0</v>
      </c>
      <c r="Y21" s="513"/>
      <c r="Z21" s="539" t="b">
        <f t="shared" si="3"/>
        <v>0</v>
      </c>
      <c r="AA21" s="513"/>
    </row>
    <row r="22" spans="1:27" s="614" customFormat="1" ht="12.75" customHeight="1">
      <c r="A22" s="4"/>
      <c r="B22" s="5"/>
      <c r="C22" s="32">
        <v>4</v>
      </c>
      <c r="D22" s="802"/>
      <c r="E22" s="810"/>
      <c r="F22" s="811"/>
      <c r="G22" s="402"/>
      <c r="H22" s="402"/>
      <c r="I22" s="402"/>
      <c r="J22" s="402"/>
      <c r="K22" s="402"/>
      <c r="L22" s="402"/>
      <c r="M22" s="402"/>
      <c r="N22" s="402"/>
      <c r="O22" s="375"/>
      <c r="P22" s="372"/>
      <c r="Q22" s="542" t="str">
        <f t="shared" si="0"/>
        <v>FInitial_1_</v>
      </c>
      <c r="R22" s="513"/>
      <c r="S22" s="513"/>
      <c r="T22" s="544">
        <f>IF(D22="","",MAX($T$18:T21)+1)</f>
      </c>
      <c r="U22" s="513"/>
      <c r="V22" s="544">
        <f t="shared" si="2"/>
        <v>1</v>
      </c>
      <c r="W22" s="513"/>
      <c r="X22" s="539" t="b">
        <f t="shared" si="1"/>
        <v>0</v>
      </c>
      <c r="Y22" s="513"/>
      <c r="Z22" s="539" t="b">
        <f t="shared" si="3"/>
        <v>0</v>
      </c>
      <c r="AA22" s="513"/>
    </row>
    <row r="23" spans="1:27" s="614" customFormat="1" ht="12.75" customHeight="1">
      <c r="A23" s="4"/>
      <c r="B23" s="5"/>
      <c r="C23" s="32">
        <v>5</v>
      </c>
      <c r="D23" s="802"/>
      <c r="E23" s="810"/>
      <c r="F23" s="811"/>
      <c r="G23" s="402"/>
      <c r="H23" s="402"/>
      <c r="I23" s="402"/>
      <c r="J23" s="402"/>
      <c r="K23" s="402"/>
      <c r="L23" s="402"/>
      <c r="M23" s="402"/>
      <c r="N23" s="402"/>
      <c r="O23" s="375"/>
      <c r="P23" s="372"/>
      <c r="Q23" s="542" t="str">
        <f t="shared" si="0"/>
        <v>FInitial_1_</v>
      </c>
      <c r="R23" s="513"/>
      <c r="S23" s="513"/>
      <c r="T23" s="544">
        <f>IF(D23="","",MAX($T$18:T22)+1)</f>
      </c>
      <c r="U23" s="513"/>
      <c r="V23" s="544">
        <f t="shared" si="2"/>
        <v>1</v>
      </c>
      <c r="W23" s="513"/>
      <c r="X23" s="539" t="b">
        <f t="shared" si="1"/>
        <v>0</v>
      </c>
      <c r="Y23" s="513"/>
      <c r="Z23" s="539" t="b">
        <f t="shared" si="3"/>
        <v>0</v>
      </c>
      <c r="AA23" s="513"/>
    </row>
    <row r="24" spans="1:27" s="614" customFormat="1" ht="12.75" customHeight="1">
      <c r="A24" s="4"/>
      <c r="B24" s="5"/>
      <c r="C24" s="32">
        <v>6</v>
      </c>
      <c r="D24" s="802"/>
      <c r="E24" s="810"/>
      <c r="F24" s="811"/>
      <c r="G24" s="402"/>
      <c r="H24" s="402"/>
      <c r="I24" s="402"/>
      <c r="J24" s="402"/>
      <c r="K24" s="402"/>
      <c r="L24" s="402"/>
      <c r="M24" s="402"/>
      <c r="N24" s="402"/>
      <c r="O24" s="375"/>
      <c r="P24" s="9"/>
      <c r="Q24" s="542" t="str">
        <f t="shared" si="0"/>
        <v>FInitial_1_</v>
      </c>
      <c r="R24" s="513"/>
      <c r="S24" s="513"/>
      <c r="T24" s="544">
        <f>IF(D24="","",MAX($T$18:T23)+1)</f>
      </c>
      <c r="U24" s="513"/>
      <c r="V24" s="544">
        <f t="shared" si="2"/>
        <v>1</v>
      </c>
      <c r="W24" s="513"/>
      <c r="X24" s="539" t="b">
        <f t="shared" si="1"/>
        <v>0</v>
      </c>
      <c r="Y24" s="513"/>
      <c r="Z24" s="539" t="b">
        <f t="shared" si="3"/>
        <v>0</v>
      </c>
      <c r="AA24" s="513"/>
    </row>
    <row r="25" spans="1:27" s="614" customFormat="1" ht="12.75" customHeight="1">
      <c r="A25" s="4"/>
      <c r="B25" s="5"/>
      <c r="C25" s="32">
        <v>7</v>
      </c>
      <c r="D25" s="802"/>
      <c r="E25" s="810"/>
      <c r="F25" s="811"/>
      <c r="G25" s="402"/>
      <c r="H25" s="402"/>
      <c r="I25" s="402"/>
      <c r="J25" s="402"/>
      <c r="K25" s="402"/>
      <c r="L25" s="402"/>
      <c r="M25" s="402"/>
      <c r="N25" s="402"/>
      <c r="O25" s="375"/>
      <c r="P25" s="9"/>
      <c r="Q25" s="542" t="str">
        <f t="shared" si="0"/>
        <v>FInitial_1_</v>
      </c>
      <c r="R25" s="513"/>
      <c r="S25" s="513"/>
      <c r="T25" s="544">
        <f>IF(D25="","",MAX($T$18:T24)+1)</f>
      </c>
      <c r="U25" s="513"/>
      <c r="V25" s="544">
        <f t="shared" si="2"/>
        <v>1</v>
      </c>
      <c r="W25" s="513"/>
      <c r="X25" s="539" t="b">
        <f t="shared" si="1"/>
        <v>0</v>
      </c>
      <c r="Y25" s="513"/>
      <c r="Z25" s="539" t="b">
        <f t="shared" si="3"/>
        <v>0</v>
      </c>
      <c r="AA25" s="513"/>
    </row>
    <row r="26" spans="1:27" s="614" customFormat="1" ht="12.75" customHeight="1">
      <c r="A26" s="4"/>
      <c r="B26" s="5"/>
      <c r="C26" s="32">
        <v>8</v>
      </c>
      <c r="D26" s="802"/>
      <c r="E26" s="810"/>
      <c r="F26" s="811"/>
      <c r="G26" s="402"/>
      <c r="H26" s="402"/>
      <c r="I26" s="402"/>
      <c r="J26" s="402"/>
      <c r="K26" s="402"/>
      <c r="L26" s="402"/>
      <c r="M26" s="402"/>
      <c r="N26" s="402"/>
      <c r="O26" s="375"/>
      <c r="P26" s="9"/>
      <c r="Q26" s="542" t="str">
        <f t="shared" si="0"/>
        <v>FInitial_1_</v>
      </c>
      <c r="R26" s="513"/>
      <c r="S26" s="513"/>
      <c r="T26" s="544">
        <f>IF(D26="","",MAX($T$18:T25)+1)</f>
      </c>
      <c r="U26" s="513"/>
      <c r="V26" s="544">
        <f t="shared" si="2"/>
        <v>1</v>
      </c>
      <c r="W26" s="513"/>
      <c r="X26" s="539" t="b">
        <f t="shared" si="1"/>
        <v>0</v>
      </c>
      <c r="Y26" s="513"/>
      <c r="Z26" s="539" t="b">
        <f t="shared" si="3"/>
        <v>0</v>
      </c>
      <c r="AA26" s="513"/>
    </row>
    <row r="27" spans="1:27" s="614" customFormat="1" ht="12.75" customHeight="1">
      <c r="A27" s="4"/>
      <c r="B27" s="5"/>
      <c r="C27" s="32">
        <v>9</v>
      </c>
      <c r="D27" s="802"/>
      <c r="E27" s="810"/>
      <c r="F27" s="811"/>
      <c r="G27" s="402"/>
      <c r="H27" s="402"/>
      <c r="I27" s="402"/>
      <c r="J27" s="402"/>
      <c r="K27" s="402"/>
      <c r="L27" s="402"/>
      <c r="M27" s="402"/>
      <c r="N27" s="402"/>
      <c r="O27" s="375"/>
      <c r="P27" s="9"/>
      <c r="Q27" s="542" t="str">
        <f t="shared" si="0"/>
        <v>FInitial_1_</v>
      </c>
      <c r="R27" s="513"/>
      <c r="S27" s="513"/>
      <c r="T27" s="544">
        <f>IF(D27="","",MAX($T$18:T26)+1)</f>
      </c>
      <c r="U27" s="513"/>
      <c r="V27" s="544">
        <f t="shared" si="2"/>
        <v>1</v>
      </c>
      <c r="W27" s="513"/>
      <c r="X27" s="539" t="b">
        <f t="shared" si="1"/>
        <v>0</v>
      </c>
      <c r="Y27" s="513"/>
      <c r="Z27" s="539" t="b">
        <f t="shared" si="3"/>
        <v>0</v>
      </c>
      <c r="AA27" s="513"/>
    </row>
    <row r="28" spans="1:27" s="614" customFormat="1" ht="12.75" customHeight="1" thickBot="1">
      <c r="A28" s="4"/>
      <c r="B28" s="5"/>
      <c r="C28" s="28">
        <v>10</v>
      </c>
      <c r="D28" s="824"/>
      <c r="E28" s="825"/>
      <c r="F28" s="826"/>
      <c r="G28" s="191"/>
      <c r="H28" s="191"/>
      <c r="I28" s="191"/>
      <c r="J28" s="191"/>
      <c r="K28" s="191"/>
      <c r="L28" s="191"/>
      <c r="M28" s="191"/>
      <c r="N28" s="191"/>
      <c r="O28" s="375"/>
      <c r="P28" s="9"/>
      <c r="Q28" s="542" t="str">
        <f t="shared" si="0"/>
        <v>FInitial_1_</v>
      </c>
      <c r="R28" s="513"/>
      <c r="S28" s="513"/>
      <c r="T28" s="545">
        <f>IF(D28="","",MAX($T$18:T27)+1)</f>
      </c>
      <c r="U28" s="513"/>
      <c r="V28" s="544">
        <f t="shared" si="2"/>
        <v>1</v>
      </c>
      <c r="W28" s="513"/>
      <c r="X28" s="539" t="b">
        <f t="shared" si="1"/>
        <v>0</v>
      </c>
      <c r="Y28" s="513"/>
      <c r="Z28" s="539" t="b">
        <f t="shared" si="3"/>
        <v>0</v>
      </c>
      <c r="AA28" s="513"/>
    </row>
    <row r="29" spans="1:27" s="614" customFormat="1" ht="12.75" customHeight="1">
      <c r="A29" s="4"/>
      <c r="B29" s="5"/>
      <c r="C29" s="32">
        <v>11</v>
      </c>
      <c r="D29" s="882" t="str">
        <f aca="true" t="shared" si="4" ref="D29:D34">INDEX(EUconst_FallBackListNames,C29-10)</f>
        <v>Heat benchmark sub-installation, CL</v>
      </c>
      <c r="E29" s="883"/>
      <c r="F29" s="884"/>
      <c r="G29" s="403"/>
      <c r="H29" s="403"/>
      <c r="I29" s="403"/>
      <c r="J29" s="403"/>
      <c r="K29" s="403"/>
      <c r="L29" s="403"/>
      <c r="M29" s="403"/>
      <c r="N29" s="403"/>
      <c r="O29" s="375"/>
      <c r="P29" s="9"/>
      <c r="Q29" s="542" t="str">
        <f t="shared" si="0"/>
        <v>FInitial_1_Heat benchmark sub-installation, CL</v>
      </c>
      <c r="R29" s="513"/>
      <c r="S29" s="513"/>
      <c r="T29" s="513"/>
      <c r="U29" s="513"/>
      <c r="V29" s="544">
        <f t="shared" si="2"/>
        <v>1</v>
      </c>
      <c r="W29" s="513"/>
      <c r="X29" s="539" t="b">
        <f t="shared" si="1"/>
        <v>0</v>
      </c>
      <c r="Y29" s="513"/>
      <c r="Z29" s="539" t="b">
        <f t="shared" si="3"/>
        <v>0</v>
      </c>
      <c r="AA29" s="513"/>
    </row>
    <row r="30" spans="1:27" s="614" customFormat="1" ht="12.75" customHeight="1">
      <c r="A30" s="4"/>
      <c r="B30" s="5"/>
      <c r="C30" s="32">
        <v>12</v>
      </c>
      <c r="D30" s="876" t="str">
        <f t="shared" si="4"/>
        <v>Heat benchmark sub-installation, non-CL</v>
      </c>
      <c r="E30" s="877"/>
      <c r="F30" s="878"/>
      <c r="G30" s="402"/>
      <c r="H30" s="402"/>
      <c r="I30" s="402"/>
      <c r="J30" s="402"/>
      <c r="K30" s="402"/>
      <c r="L30" s="402"/>
      <c r="M30" s="402"/>
      <c r="N30" s="402"/>
      <c r="O30" s="375"/>
      <c r="P30" s="9"/>
      <c r="Q30" s="542" t="str">
        <f t="shared" si="0"/>
        <v>FInitial_1_Heat benchmark sub-installation, non-CL</v>
      </c>
      <c r="R30" s="513"/>
      <c r="S30" s="513"/>
      <c r="T30" s="513"/>
      <c r="U30" s="513"/>
      <c r="V30" s="544">
        <f t="shared" si="2"/>
        <v>1</v>
      </c>
      <c r="W30" s="513"/>
      <c r="X30" s="539" t="b">
        <f t="shared" si="1"/>
        <v>0</v>
      </c>
      <c r="Y30" s="513"/>
      <c r="Z30" s="539" t="b">
        <f t="shared" si="3"/>
        <v>0</v>
      </c>
      <c r="AA30" s="513"/>
    </row>
    <row r="31" spans="1:27" s="614" customFormat="1" ht="12.75" customHeight="1">
      <c r="A31" s="4"/>
      <c r="B31" s="5"/>
      <c r="C31" s="32">
        <v>13</v>
      </c>
      <c r="D31" s="876" t="str">
        <f t="shared" si="4"/>
        <v>Fuel benchmark sub-installation, CL</v>
      </c>
      <c r="E31" s="877"/>
      <c r="F31" s="878"/>
      <c r="G31" s="402"/>
      <c r="H31" s="402"/>
      <c r="I31" s="402"/>
      <c r="J31" s="402"/>
      <c r="K31" s="402"/>
      <c r="L31" s="402"/>
      <c r="M31" s="402"/>
      <c r="N31" s="402"/>
      <c r="O31" s="375"/>
      <c r="P31" s="9"/>
      <c r="Q31" s="542" t="str">
        <f t="shared" si="0"/>
        <v>FInitial_1_Fuel benchmark sub-installation, CL</v>
      </c>
      <c r="R31" s="513"/>
      <c r="S31" s="513"/>
      <c r="T31" s="513"/>
      <c r="U31" s="513"/>
      <c r="V31" s="544">
        <f t="shared" si="2"/>
        <v>1</v>
      </c>
      <c r="W31" s="513"/>
      <c r="X31" s="539" t="b">
        <f t="shared" si="1"/>
        <v>0</v>
      </c>
      <c r="Y31" s="513"/>
      <c r="Z31" s="539" t="b">
        <f t="shared" si="3"/>
        <v>0</v>
      </c>
      <c r="AA31" s="513"/>
    </row>
    <row r="32" spans="1:27" s="614" customFormat="1" ht="12.75" customHeight="1">
      <c r="A32" s="4"/>
      <c r="B32" s="5"/>
      <c r="C32" s="32">
        <v>14</v>
      </c>
      <c r="D32" s="876" t="str">
        <f t="shared" si="4"/>
        <v>Fuel benchmark sub-installation, non-CL</v>
      </c>
      <c r="E32" s="877"/>
      <c r="F32" s="878"/>
      <c r="G32" s="402"/>
      <c r="H32" s="402"/>
      <c r="I32" s="402"/>
      <c r="J32" s="402"/>
      <c r="K32" s="402"/>
      <c r="L32" s="402"/>
      <c r="M32" s="402"/>
      <c r="N32" s="402"/>
      <c r="O32" s="375"/>
      <c r="P32" s="9"/>
      <c r="Q32" s="542" t="str">
        <f t="shared" si="0"/>
        <v>FInitial_1_Fuel benchmark sub-installation, non-CL</v>
      </c>
      <c r="R32" s="513"/>
      <c r="S32" s="513"/>
      <c r="T32" s="513"/>
      <c r="U32" s="513"/>
      <c r="V32" s="544">
        <f t="shared" si="2"/>
        <v>1</v>
      </c>
      <c r="W32" s="513"/>
      <c r="X32" s="539" t="b">
        <f t="shared" si="1"/>
        <v>0</v>
      </c>
      <c r="Y32" s="513"/>
      <c r="Z32" s="539" t="b">
        <f t="shared" si="3"/>
        <v>0</v>
      </c>
      <c r="AA32" s="513"/>
    </row>
    <row r="33" spans="1:27" s="614" customFormat="1" ht="12.75" customHeight="1">
      <c r="A33" s="4"/>
      <c r="B33" s="5"/>
      <c r="C33" s="32">
        <v>15</v>
      </c>
      <c r="D33" s="876" t="str">
        <f t="shared" si="4"/>
        <v>Process emissions sub-installation, CL</v>
      </c>
      <c r="E33" s="877"/>
      <c r="F33" s="878"/>
      <c r="G33" s="402"/>
      <c r="H33" s="402"/>
      <c r="I33" s="402"/>
      <c r="J33" s="402"/>
      <c r="K33" s="402"/>
      <c r="L33" s="402"/>
      <c r="M33" s="402"/>
      <c r="N33" s="402"/>
      <c r="O33" s="375"/>
      <c r="P33" s="9"/>
      <c r="Q33" s="542" t="str">
        <f t="shared" si="0"/>
        <v>FInitial_1_Process emissions sub-installation, CL</v>
      </c>
      <c r="R33" s="513"/>
      <c r="S33" s="513"/>
      <c r="T33" s="513"/>
      <c r="U33" s="513"/>
      <c r="V33" s="544">
        <f t="shared" si="2"/>
        <v>1</v>
      </c>
      <c r="W33" s="513"/>
      <c r="X33" s="539" t="b">
        <f t="shared" si="1"/>
        <v>0</v>
      </c>
      <c r="Y33" s="513"/>
      <c r="Z33" s="539" t="b">
        <f t="shared" si="3"/>
        <v>0</v>
      </c>
      <c r="AA33" s="513"/>
    </row>
    <row r="34" spans="1:27" s="614" customFormat="1" ht="12.75" customHeight="1">
      <c r="A34" s="4"/>
      <c r="B34" s="5"/>
      <c r="C34" s="32">
        <v>16</v>
      </c>
      <c r="D34" s="885" t="str">
        <f t="shared" si="4"/>
        <v>Process emissions sub-installation, non-CL</v>
      </c>
      <c r="E34" s="886"/>
      <c r="F34" s="887"/>
      <c r="G34" s="430"/>
      <c r="H34" s="430"/>
      <c r="I34" s="430"/>
      <c r="J34" s="430"/>
      <c r="K34" s="430"/>
      <c r="L34" s="430"/>
      <c r="M34" s="430"/>
      <c r="N34" s="430"/>
      <c r="O34" s="375"/>
      <c r="P34" s="9"/>
      <c r="Q34" s="542" t="str">
        <f t="shared" si="0"/>
        <v>FInitial_1_Process emissions sub-installation, non-CL</v>
      </c>
      <c r="R34" s="513"/>
      <c r="S34" s="513"/>
      <c r="T34" s="513"/>
      <c r="U34" s="513"/>
      <c r="V34" s="544">
        <f t="shared" si="2"/>
        <v>1</v>
      </c>
      <c r="W34" s="513"/>
      <c r="X34" s="539" t="b">
        <f t="shared" si="1"/>
        <v>0</v>
      </c>
      <c r="Y34" s="513"/>
      <c r="Z34" s="539" t="b">
        <f t="shared" si="3"/>
        <v>0</v>
      </c>
      <c r="AA34" s="513"/>
    </row>
    <row r="35" spans="1:27" s="614" customFormat="1" ht="12.75" customHeight="1" thickBot="1">
      <c r="A35" s="4"/>
      <c r="B35" s="5"/>
      <c r="C35" s="503">
        <v>17</v>
      </c>
      <c r="D35" s="879" t="str">
        <f>EUconst_PrivateHouseholds</f>
        <v>Private households</v>
      </c>
      <c r="E35" s="880"/>
      <c r="F35" s="881"/>
      <c r="G35" s="505"/>
      <c r="H35" s="505"/>
      <c r="I35" s="505"/>
      <c r="J35" s="505"/>
      <c r="K35" s="505"/>
      <c r="L35" s="505"/>
      <c r="M35" s="505"/>
      <c r="N35" s="505"/>
      <c r="O35" s="375"/>
      <c r="P35" s="9"/>
      <c r="Q35" s="542" t="str">
        <f t="shared" si="0"/>
        <v>FInitial_1_Private households</v>
      </c>
      <c r="R35" s="513"/>
      <c r="S35" s="513"/>
      <c r="T35" s="513"/>
      <c r="U35" s="513"/>
      <c r="V35" s="545">
        <f t="shared" si="2"/>
        <v>1</v>
      </c>
      <c r="W35" s="513"/>
      <c r="X35" s="539" t="b">
        <f t="shared" si="1"/>
        <v>0</v>
      </c>
      <c r="Y35" s="513"/>
      <c r="Z35" s="539" t="b">
        <f t="shared" si="3"/>
        <v>0</v>
      </c>
      <c r="AA35" s="513"/>
    </row>
    <row r="36" spans="1:27" s="614" customFormat="1" ht="12.75" customHeight="1">
      <c r="A36" s="4"/>
      <c r="B36" s="5"/>
      <c r="C36" s="20"/>
      <c r="D36" s="888" t="str">
        <f>EUconst_TotFreeAlloc</f>
        <v>Total final free allocation</v>
      </c>
      <c r="E36" s="889"/>
      <c r="F36" s="890"/>
      <c r="G36" s="220">
        <f aca="true" t="shared" si="5" ref="G36:N36">IF(COUNT(G18:G35)&gt;0,SUM(G18:G35),"")</f>
      </c>
      <c r="H36" s="220">
        <f t="shared" si="5"/>
      </c>
      <c r="I36" s="220">
        <f t="shared" si="5"/>
      </c>
      <c r="J36" s="220">
        <f t="shared" si="5"/>
      </c>
      <c r="K36" s="220">
        <f t="shared" si="5"/>
      </c>
      <c r="L36" s="220">
        <f t="shared" si="5"/>
      </c>
      <c r="M36" s="220">
        <f t="shared" si="5"/>
      </c>
      <c r="N36" s="220">
        <f t="shared" si="5"/>
      </c>
      <c r="O36" s="375"/>
      <c r="P36" s="9"/>
      <c r="Q36" s="531"/>
      <c r="R36" s="513"/>
      <c r="S36" s="513"/>
      <c r="T36" s="513"/>
      <c r="U36" s="513"/>
      <c r="V36" s="513"/>
      <c r="W36" s="513"/>
      <c r="X36" s="513"/>
      <c r="Y36" s="513"/>
      <c r="Z36" s="539" t="b">
        <f t="shared" si="3"/>
        <v>0</v>
      </c>
      <c r="AA36" s="513"/>
    </row>
    <row r="37" spans="1:27" s="614" customFormat="1" ht="12.75" customHeight="1">
      <c r="A37" s="4"/>
      <c r="B37" s="5"/>
      <c r="C37" s="7"/>
      <c r="D37" s="5"/>
      <c r="E37" s="5"/>
      <c r="F37" s="5"/>
      <c r="G37" s="5"/>
      <c r="H37" s="5"/>
      <c r="I37" s="5"/>
      <c r="J37" s="5"/>
      <c r="K37" s="5"/>
      <c r="L37" s="5"/>
      <c r="M37" s="9"/>
      <c r="N37" s="9"/>
      <c r="O37" s="366"/>
      <c r="P37" s="9"/>
      <c r="Q37" s="531"/>
      <c r="R37" s="513"/>
      <c r="S37" s="513"/>
      <c r="T37" s="513"/>
      <c r="U37" s="513"/>
      <c r="V37" s="513"/>
      <c r="W37" s="513"/>
      <c r="X37" s="513"/>
      <c r="Y37" s="513"/>
      <c r="Z37" s="513"/>
      <c r="AA37" s="513"/>
    </row>
    <row r="38" spans="1:27" s="614" customFormat="1" ht="12.75" customHeight="1">
      <c r="A38" s="4"/>
      <c r="B38" s="5"/>
      <c r="C38" s="5"/>
      <c r="D38" s="197" t="s">
        <v>761</v>
      </c>
      <c r="E38" s="696" t="str">
        <f>Translations!$B$1572</f>
        <v>Latest final allocation with adjustment factors for any partial cessations</v>
      </c>
      <c r="F38" s="695"/>
      <c r="G38" s="695"/>
      <c r="H38" s="695"/>
      <c r="I38" s="695"/>
      <c r="J38" s="695"/>
      <c r="K38" s="695"/>
      <c r="L38" s="695"/>
      <c r="M38" s="695"/>
      <c r="N38" s="695"/>
      <c r="O38" s="368"/>
      <c r="P38" s="435"/>
      <c r="Q38" s="531"/>
      <c r="R38" s="513"/>
      <c r="S38" s="513"/>
      <c r="T38" s="513"/>
      <c r="U38" s="513"/>
      <c r="V38" s="513"/>
      <c r="W38" s="513"/>
      <c r="X38" s="513"/>
      <c r="Y38" s="513"/>
      <c r="Z38" s="513"/>
      <c r="AA38" s="513"/>
    </row>
    <row r="39" spans="1:27" s="614" customFormat="1" ht="12.75" customHeight="1">
      <c r="A39" s="4"/>
      <c r="B39" s="5"/>
      <c r="C39" s="5"/>
      <c r="D39" s="197"/>
      <c r="E39" s="759" t="str">
        <f>Translations!$B$1573</f>
        <v>Please enter here the latest final total amount of allowances allocated free of charge including the application of adjustment factors in accordance to Article 23 of the CIMs.</v>
      </c>
      <c r="F39" s="674"/>
      <c r="G39" s="674"/>
      <c r="H39" s="674"/>
      <c r="I39" s="674"/>
      <c r="J39" s="674"/>
      <c r="K39" s="674"/>
      <c r="L39" s="674"/>
      <c r="M39" s="674"/>
      <c r="N39" s="674"/>
      <c r="O39" s="368"/>
      <c r="P39" s="375"/>
      <c r="Q39" s="531"/>
      <c r="R39" s="513"/>
      <c r="S39" s="513"/>
      <c r="T39" s="513"/>
      <c r="U39" s="513"/>
      <c r="V39" s="513"/>
      <c r="W39" s="513"/>
      <c r="X39" s="513"/>
      <c r="Y39" s="513"/>
      <c r="Z39" s="513"/>
      <c r="AA39" s="513"/>
    </row>
    <row r="40" spans="1:27" s="614" customFormat="1" ht="12.75" customHeight="1">
      <c r="A40" s="4"/>
      <c r="B40" s="5"/>
      <c r="C40" s="7"/>
      <c r="D40" s="5"/>
      <c r="E40" s="5"/>
      <c r="F40" s="5"/>
      <c r="G40" s="5"/>
      <c r="H40" s="5"/>
      <c r="I40" s="5"/>
      <c r="J40" s="5"/>
      <c r="K40" s="5"/>
      <c r="L40" s="5"/>
      <c r="M40" s="9"/>
      <c r="N40" s="9"/>
      <c r="O40" s="366"/>
      <c r="P40" s="9"/>
      <c r="Q40" s="531"/>
      <c r="R40" s="513"/>
      <c r="S40" s="513"/>
      <c r="T40" s="513"/>
      <c r="U40" s="513"/>
      <c r="V40" s="513"/>
      <c r="W40" s="513"/>
      <c r="X40" s="513"/>
      <c r="Y40" s="513"/>
      <c r="Z40" s="513"/>
      <c r="AA40" s="513"/>
    </row>
    <row r="41" spans="1:27" s="614" customFormat="1" ht="4.5" customHeight="1">
      <c r="A41" s="4"/>
      <c r="B41" s="5"/>
      <c r="C41" s="5"/>
      <c r="D41" s="5"/>
      <c r="E41" s="5"/>
      <c r="F41" s="5"/>
      <c r="G41" s="5"/>
      <c r="H41" s="5"/>
      <c r="I41" s="5"/>
      <c r="J41" s="5"/>
      <c r="K41" s="5"/>
      <c r="L41" s="5"/>
      <c r="M41" s="9"/>
      <c r="N41" s="9"/>
      <c r="O41" s="375"/>
      <c r="P41" s="9"/>
      <c r="Q41" s="531"/>
      <c r="R41" s="531"/>
      <c r="S41" s="531"/>
      <c r="T41" s="531"/>
      <c r="U41" s="531"/>
      <c r="V41" s="531"/>
      <c r="W41" s="531"/>
      <c r="X41" s="531"/>
      <c r="Y41" s="513"/>
      <c r="Z41" s="513"/>
      <c r="AA41" s="513"/>
    </row>
    <row r="42" spans="1:27" s="614" customFormat="1" ht="12.75" customHeight="1">
      <c r="A42" s="4"/>
      <c r="B42" s="5"/>
      <c r="C42" s="22"/>
      <c r="D42" s="792" t="str">
        <f>Translations!$B$440</f>
        <v>Sub-installation</v>
      </c>
      <c r="E42" s="834"/>
      <c r="F42" s="908"/>
      <c r="G42" s="219">
        <v>2013</v>
      </c>
      <c r="H42" s="219">
        <v>2014</v>
      </c>
      <c r="I42" s="219">
        <v>2015</v>
      </c>
      <c r="J42" s="219">
        <v>2016</v>
      </c>
      <c r="K42" s="219">
        <v>2017</v>
      </c>
      <c r="L42" s="219">
        <v>2018</v>
      </c>
      <c r="M42" s="219">
        <v>2019</v>
      </c>
      <c r="N42" s="219">
        <v>2020</v>
      </c>
      <c r="O42" s="375"/>
      <c r="P42" s="372"/>
      <c r="Q42" s="531"/>
      <c r="R42" s="531"/>
      <c r="S42" s="531"/>
      <c r="T42" s="531"/>
      <c r="U42" s="531"/>
      <c r="V42" s="531"/>
      <c r="W42" s="531"/>
      <c r="X42" s="531"/>
      <c r="Y42" s="513"/>
      <c r="Z42" s="538" t="s">
        <v>1034</v>
      </c>
      <c r="AA42" s="513"/>
    </row>
    <row r="43" spans="1:27" s="614" customFormat="1" ht="12.75" customHeight="1" thickBot="1">
      <c r="A43" s="4"/>
      <c r="B43" s="5"/>
      <c r="C43" s="218">
        <v>0</v>
      </c>
      <c r="D43" s="879" t="str">
        <f>Translations!$B$1447</f>
        <v>Phase before start</v>
      </c>
      <c r="E43" s="880"/>
      <c r="F43" s="881"/>
      <c r="G43" s="606"/>
      <c r="H43" s="606"/>
      <c r="I43" s="606"/>
      <c r="J43" s="606"/>
      <c r="K43" s="606"/>
      <c r="L43" s="606"/>
      <c r="M43" s="606"/>
      <c r="N43" s="606"/>
      <c r="O43" s="375"/>
      <c r="P43" s="372"/>
      <c r="Q43" s="531"/>
      <c r="R43" s="531"/>
      <c r="S43" s="531"/>
      <c r="T43" s="531"/>
      <c r="U43" s="531"/>
      <c r="V43" s="531"/>
      <c r="W43" s="531"/>
      <c r="X43" s="531"/>
      <c r="Y43" s="513"/>
      <c r="Z43" s="539" t="b">
        <f>Z36</f>
        <v>0</v>
      </c>
      <c r="AA43" s="513"/>
    </row>
    <row r="44" spans="1:27" s="614" customFormat="1" ht="12.75" customHeight="1">
      <c r="A44" s="4"/>
      <c r="B44" s="5"/>
      <c r="C44" s="32">
        <v>1</v>
      </c>
      <c r="D44" s="899">
        <f aca="true" t="shared" si="6" ref="D44:D53">IF(D19="","",D19)</f>
      </c>
      <c r="E44" s="900"/>
      <c r="F44" s="901"/>
      <c r="G44" s="403"/>
      <c r="H44" s="403"/>
      <c r="I44" s="403"/>
      <c r="J44" s="403"/>
      <c r="K44" s="403"/>
      <c r="L44" s="403"/>
      <c r="M44" s="403"/>
      <c r="N44" s="403"/>
      <c r="O44" s="375"/>
      <c r="P44" s="372"/>
      <c r="Q44" s="531"/>
      <c r="R44" s="531"/>
      <c r="S44" s="531"/>
      <c r="T44" s="531"/>
      <c r="U44" s="531"/>
      <c r="V44" s="531"/>
      <c r="W44" s="531"/>
      <c r="X44" s="531"/>
      <c r="Y44" s="513"/>
      <c r="Z44" s="539" t="b">
        <f aca="true" t="shared" si="7" ref="Z44:Z61">Z43</f>
        <v>0</v>
      </c>
      <c r="AA44" s="513"/>
    </row>
    <row r="45" spans="1:27" s="614" customFormat="1" ht="12.75" customHeight="1">
      <c r="A45" s="4"/>
      <c r="B45" s="5"/>
      <c r="C45" s="32">
        <v>2</v>
      </c>
      <c r="D45" s="873">
        <f t="shared" si="6"/>
      </c>
      <c r="E45" s="874"/>
      <c r="F45" s="875"/>
      <c r="G45" s="402"/>
      <c r="H45" s="402"/>
      <c r="I45" s="402"/>
      <c r="J45" s="402"/>
      <c r="K45" s="402"/>
      <c r="L45" s="402"/>
      <c r="M45" s="402"/>
      <c r="N45" s="402"/>
      <c r="O45" s="375"/>
      <c r="P45" s="372"/>
      <c r="Q45" s="531"/>
      <c r="R45" s="531"/>
      <c r="S45" s="531"/>
      <c r="T45" s="531"/>
      <c r="U45" s="531"/>
      <c r="V45" s="531"/>
      <c r="W45" s="531"/>
      <c r="X45" s="531"/>
      <c r="Y45" s="513"/>
      <c r="Z45" s="539" t="b">
        <f t="shared" si="7"/>
        <v>0</v>
      </c>
      <c r="AA45" s="513"/>
    </row>
    <row r="46" spans="1:27" s="614" customFormat="1" ht="12.75" customHeight="1">
      <c r="A46" s="4"/>
      <c r="B46" s="5"/>
      <c r="C46" s="32">
        <v>3</v>
      </c>
      <c r="D46" s="873">
        <f t="shared" si="6"/>
      </c>
      <c r="E46" s="874"/>
      <c r="F46" s="875"/>
      <c r="G46" s="402"/>
      <c r="H46" s="402"/>
      <c r="I46" s="402"/>
      <c r="J46" s="402"/>
      <c r="K46" s="402"/>
      <c r="L46" s="402"/>
      <c r="M46" s="402"/>
      <c r="N46" s="402"/>
      <c r="O46" s="375"/>
      <c r="P46" s="372"/>
      <c r="Q46" s="531"/>
      <c r="R46" s="531"/>
      <c r="S46" s="531"/>
      <c r="T46" s="531"/>
      <c r="U46" s="531"/>
      <c r="V46" s="531"/>
      <c r="W46" s="531"/>
      <c r="X46" s="531"/>
      <c r="Y46" s="513"/>
      <c r="Z46" s="539" t="b">
        <f t="shared" si="7"/>
        <v>0</v>
      </c>
      <c r="AA46" s="513"/>
    </row>
    <row r="47" spans="1:27" s="614" customFormat="1" ht="12.75" customHeight="1">
      <c r="A47" s="4"/>
      <c r="B47" s="5"/>
      <c r="C47" s="32">
        <v>4</v>
      </c>
      <c r="D47" s="873">
        <f t="shared" si="6"/>
      </c>
      <c r="E47" s="874"/>
      <c r="F47" s="875"/>
      <c r="G47" s="402"/>
      <c r="H47" s="402"/>
      <c r="I47" s="402"/>
      <c r="J47" s="402"/>
      <c r="K47" s="402"/>
      <c r="L47" s="402"/>
      <c r="M47" s="402"/>
      <c r="N47" s="402"/>
      <c r="O47" s="375"/>
      <c r="P47" s="372"/>
      <c r="Q47" s="531"/>
      <c r="R47" s="531"/>
      <c r="S47" s="531"/>
      <c r="T47" s="531"/>
      <c r="U47" s="531"/>
      <c r="V47" s="531"/>
      <c r="W47" s="531"/>
      <c r="X47" s="531"/>
      <c r="Y47" s="513"/>
      <c r="Z47" s="539" t="b">
        <f t="shared" si="7"/>
        <v>0</v>
      </c>
      <c r="AA47" s="513"/>
    </row>
    <row r="48" spans="1:27" s="614" customFormat="1" ht="12.75" customHeight="1">
      <c r="A48" s="4"/>
      <c r="B48" s="5"/>
      <c r="C48" s="32">
        <v>5</v>
      </c>
      <c r="D48" s="873">
        <f t="shared" si="6"/>
      </c>
      <c r="E48" s="874"/>
      <c r="F48" s="875"/>
      <c r="G48" s="402"/>
      <c r="H48" s="402"/>
      <c r="I48" s="402"/>
      <c r="J48" s="402"/>
      <c r="K48" s="402"/>
      <c r="L48" s="402"/>
      <c r="M48" s="402"/>
      <c r="N48" s="402"/>
      <c r="O48" s="375"/>
      <c r="P48" s="372"/>
      <c r="Q48" s="531"/>
      <c r="R48" s="531"/>
      <c r="S48" s="531"/>
      <c r="T48" s="531"/>
      <c r="U48" s="531"/>
      <c r="V48" s="531"/>
      <c r="W48" s="531"/>
      <c r="X48" s="531"/>
      <c r="Y48" s="513"/>
      <c r="Z48" s="539" t="b">
        <f t="shared" si="7"/>
        <v>0</v>
      </c>
      <c r="AA48" s="513"/>
    </row>
    <row r="49" spans="1:27" s="614" customFormat="1" ht="12.75" customHeight="1">
      <c r="A49" s="4"/>
      <c r="B49" s="5"/>
      <c r="C49" s="32">
        <v>6</v>
      </c>
      <c r="D49" s="873">
        <f t="shared" si="6"/>
      </c>
      <c r="E49" s="874"/>
      <c r="F49" s="875"/>
      <c r="G49" s="402"/>
      <c r="H49" s="402"/>
      <c r="I49" s="402"/>
      <c r="J49" s="402"/>
      <c r="K49" s="402"/>
      <c r="L49" s="402"/>
      <c r="M49" s="402"/>
      <c r="N49" s="402"/>
      <c r="O49" s="375"/>
      <c r="P49" s="9"/>
      <c r="Q49" s="531"/>
      <c r="R49" s="531"/>
      <c r="S49" s="531"/>
      <c r="T49" s="531"/>
      <c r="U49" s="531"/>
      <c r="V49" s="531"/>
      <c r="W49" s="531"/>
      <c r="X49" s="531"/>
      <c r="Y49" s="513"/>
      <c r="Z49" s="539" t="b">
        <f t="shared" si="7"/>
        <v>0</v>
      </c>
      <c r="AA49" s="513"/>
    </row>
    <row r="50" spans="1:27" s="614" customFormat="1" ht="12.75" customHeight="1">
      <c r="A50" s="4"/>
      <c r="B50" s="5"/>
      <c r="C50" s="32">
        <v>7</v>
      </c>
      <c r="D50" s="873">
        <f t="shared" si="6"/>
      </c>
      <c r="E50" s="874"/>
      <c r="F50" s="875"/>
      <c r="G50" s="402"/>
      <c r="H50" s="402"/>
      <c r="I50" s="402"/>
      <c r="J50" s="402"/>
      <c r="K50" s="402"/>
      <c r="L50" s="402"/>
      <c r="M50" s="402"/>
      <c r="N50" s="402"/>
      <c r="O50" s="375"/>
      <c r="P50" s="9"/>
      <c r="Q50" s="531"/>
      <c r="R50" s="531"/>
      <c r="S50" s="531"/>
      <c r="T50" s="531"/>
      <c r="U50" s="531"/>
      <c r="V50" s="531"/>
      <c r="W50" s="531"/>
      <c r="X50" s="531"/>
      <c r="Y50" s="513"/>
      <c r="Z50" s="539" t="b">
        <f t="shared" si="7"/>
        <v>0</v>
      </c>
      <c r="AA50" s="513"/>
    </row>
    <row r="51" spans="1:27" s="614" customFormat="1" ht="12.75" customHeight="1">
      <c r="A51" s="4"/>
      <c r="B51" s="5"/>
      <c r="C51" s="32">
        <v>8</v>
      </c>
      <c r="D51" s="873">
        <f t="shared" si="6"/>
      </c>
      <c r="E51" s="874"/>
      <c r="F51" s="875"/>
      <c r="G51" s="402"/>
      <c r="H51" s="402"/>
      <c r="I51" s="402"/>
      <c r="J51" s="402"/>
      <c r="K51" s="402"/>
      <c r="L51" s="402"/>
      <c r="M51" s="402"/>
      <c r="N51" s="402"/>
      <c r="O51" s="375"/>
      <c r="P51" s="9"/>
      <c r="Q51" s="531"/>
      <c r="R51" s="531"/>
      <c r="S51" s="531"/>
      <c r="T51" s="531"/>
      <c r="U51" s="531"/>
      <c r="V51" s="531"/>
      <c r="W51" s="531"/>
      <c r="X51" s="531"/>
      <c r="Y51" s="513"/>
      <c r="Z51" s="539" t="b">
        <f t="shared" si="7"/>
        <v>0</v>
      </c>
      <c r="AA51" s="513"/>
    </row>
    <row r="52" spans="1:27" s="614" customFormat="1" ht="12.75" customHeight="1">
      <c r="A52" s="4"/>
      <c r="B52" s="5"/>
      <c r="C52" s="32">
        <v>9</v>
      </c>
      <c r="D52" s="873">
        <f t="shared" si="6"/>
      </c>
      <c r="E52" s="874"/>
      <c r="F52" s="875"/>
      <c r="G52" s="402"/>
      <c r="H52" s="402"/>
      <c r="I52" s="402"/>
      <c r="J52" s="402"/>
      <c r="K52" s="402"/>
      <c r="L52" s="402"/>
      <c r="M52" s="402"/>
      <c r="N52" s="402"/>
      <c r="O52" s="375"/>
      <c r="P52" s="9"/>
      <c r="Q52" s="531"/>
      <c r="R52" s="531"/>
      <c r="S52" s="531"/>
      <c r="T52" s="531"/>
      <c r="U52" s="531"/>
      <c r="V52" s="531"/>
      <c r="W52" s="531"/>
      <c r="X52" s="531"/>
      <c r="Y52" s="513"/>
      <c r="Z52" s="539" t="b">
        <f t="shared" si="7"/>
        <v>0</v>
      </c>
      <c r="AA52" s="513"/>
    </row>
    <row r="53" spans="1:27" s="614" customFormat="1" ht="12.75" customHeight="1">
      <c r="A53" s="4"/>
      <c r="B53" s="5"/>
      <c r="C53" s="28">
        <v>10</v>
      </c>
      <c r="D53" s="896">
        <f t="shared" si="6"/>
      </c>
      <c r="E53" s="897"/>
      <c r="F53" s="898"/>
      <c r="G53" s="191"/>
      <c r="H53" s="191"/>
      <c r="I53" s="191"/>
      <c r="J53" s="191"/>
      <c r="K53" s="191"/>
      <c r="L53" s="191"/>
      <c r="M53" s="191"/>
      <c r="N53" s="191"/>
      <c r="O53" s="375"/>
      <c r="P53" s="9"/>
      <c r="Q53" s="531"/>
      <c r="R53" s="531"/>
      <c r="S53" s="531"/>
      <c r="T53" s="531"/>
      <c r="U53" s="531"/>
      <c r="V53" s="531"/>
      <c r="W53" s="531"/>
      <c r="X53" s="531"/>
      <c r="Y53" s="513"/>
      <c r="Z53" s="539" t="b">
        <f t="shared" si="7"/>
        <v>0</v>
      </c>
      <c r="AA53" s="513"/>
    </row>
    <row r="54" spans="1:27" s="614" customFormat="1" ht="12.75" customHeight="1">
      <c r="A54" s="4"/>
      <c r="B54" s="5"/>
      <c r="C54" s="32">
        <v>11</v>
      </c>
      <c r="D54" s="882" t="str">
        <f aca="true" t="shared" si="8" ref="D54:D59">INDEX(EUconst_FallBackListNames,C54-10)</f>
        <v>Heat benchmark sub-installation, CL</v>
      </c>
      <c r="E54" s="883"/>
      <c r="F54" s="884"/>
      <c r="G54" s="403"/>
      <c r="H54" s="403"/>
      <c r="I54" s="403"/>
      <c r="J54" s="403"/>
      <c r="K54" s="403"/>
      <c r="L54" s="403"/>
      <c r="M54" s="403"/>
      <c r="N54" s="403"/>
      <c r="O54" s="375"/>
      <c r="P54" s="9"/>
      <c r="Q54" s="531"/>
      <c r="R54" s="531"/>
      <c r="S54" s="531"/>
      <c r="T54" s="531"/>
      <c r="U54" s="531"/>
      <c r="V54" s="531"/>
      <c r="W54" s="531"/>
      <c r="X54" s="531"/>
      <c r="Y54" s="513"/>
      <c r="Z54" s="539" t="b">
        <f t="shared" si="7"/>
        <v>0</v>
      </c>
      <c r="AA54" s="513"/>
    </row>
    <row r="55" spans="1:27" s="614" customFormat="1" ht="12.75" customHeight="1">
      <c r="A55" s="4"/>
      <c r="B55" s="5"/>
      <c r="C55" s="32">
        <v>12</v>
      </c>
      <c r="D55" s="876" t="str">
        <f t="shared" si="8"/>
        <v>Heat benchmark sub-installation, non-CL</v>
      </c>
      <c r="E55" s="877"/>
      <c r="F55" s="878"/>
      <c r="G55" s="402"/>
      <c r="H55" s="402"/>
      <c r="I55" s="402"/>
      <c r="J55" s="402"/>
      <c r="K55" s="402"/>
      <c r="L55" s="402"/>
      <c r="M55" s="402"/>
      <c r="N55" s="402"/>
      <c r="O55" s="375"/>
      <c r="P55" s="9"/>
      <c r="Q55" s="531"/>
      <c r="R55" s="531"/>
      <c r="S55" s="531"/>
      <c r="T55" s="531"/>
      <c r="U55" s="531"/>
      <c r="V55" s="531"/>
      <c r="W55" s="531"/>
      <c r="X55" s="531"/>
      <c r="Y55" s="513"/>
      <c r="Z55" s="539" t="b">
        <f t="shared" si="7"/>
        <v>0</v>
      </c>
      <c r="AA55" s="513"/>
    </row>
    <row r="56" spans="1:27" s="614" customFormat="1" ht="12.75" customHeight="1">
      <c r="A56" s="4"/>
      <c r="B56" s="5"/>
      <c r="C56" s="32">
        <v>13</v>
      </c>
      <c r="D56" s="876" t="str">
        <f t="shared" si="8"/>
        <v>Fuel benchmark sub-installation, CL</v>
      </c>
      <c r="E56" s="877"/>
      <c r="F56" s="878"/>
      <c r="G56" s="402"/>
      <c r="H56" s="402"/>
      <c r="I56" s="402"/>
      <c r="J56" s="402"/>
      <c r="K56" s="402"/>
      <c r="L56" s="402"/>
      <c r="M56" s="402"/>
      <c r="N56" s="402"/>
      <c r="O56" s="375"/>
      <c r="P56" s="9"/>
      <c r="Q56" s="531"/>
      <c r="R56" s="531"/>
      <c r="S56" s="531"/>
      <c r="T56" s="531"/>
      <c r="U56" s="531"/>
      <c r="V56" s="531"/>
      <c r="W56" s="531"/>
      <c r="X56" s="531"/>
      <c r="Y56" s="513"/>
      <c r="Z56" s="539" t="b">
        <f t="shared" si="7"/>
        <v>0</v>
      </c>
      <c r="AA56" s="513"/>
    </row>
    <row r="57" spans="1:27" s="614" customFormat="1" ht="12.75" customHeight="1">
      <c r="A57" s="4"/>
      <c r="B57" s="5"/>
      <c r="C57" s="32">
        <v>14</v>
      </c>
      <c r="D57" s="876" t="str">
        <f t="shared" si="8"/>
        <v>Fuel benchmark sub-installation, non-CL</v>
      </c>
      <c r="E57" s="877"/>
      <c r="F57" s="878"/>
      <c r="G57" s="402"/>
      <c r="H57" s="402"/>
      <c r="I57" s="402"/>
      <c r="J57" s="402"/>
      <c r="K57" s="402"/>
      <c r="L57" s="402"/>
      <c r="M57" s="402"/>
      <c r="N57" s="402"/>
      <c r="O57" s="375"/>
      <c r="P57" s="9"/>
      <c r="Q57" s="531"/>
      <c r="R57" s="531"/>
      <c r="S57" s="531"/>
      <c r="T57" s="531"/>
      <c r="U57" s="531"/>
      <c r="V57" s="531"/>
      <c r="W57" s="531"/>
      <c r="X57" s="531"/>
      <c r="Y57" s="513"/>
      <c r="Z57" s="539" t="b">
        <f t="shared" si="7"/>
        <v>0</v>
      </c>
      <c r="AA57" s="513"/>
    </row>
    <row r="58" spans="1:27" s="614" customFormat="1" ht="12.75" customHeight="1">
      <c r="A58" s="4"/>
      <c r="B58" s="5"/>
      <c r="C58" s="32">
        <v>15</v>
      </c>
      <c r="D58" s="876" t="str">
        <f t="shared" si="8"/>
        <v>Process emissions sub-installation, CL</v>
      </c>
      <c r="E58" s="877"/>
      <c r="F58" s="878"/>
      <c r="G58" s="402"/>
      <c r="H58" s="402"/>
      <c r="I58" s="402"/>
      <c r="J58" s="402"/>
      <c r="K58" s="402"/>
      <c r="L58" s="402"/>
      <c r="M58" s="402"/>
      <c r="N58" s="402"/>
      <c r="O58" s="375"/>
      <c r="P58" s="9"/>
      <c r="Q58" s="531"/>
      <c r="R58" s="531"/>
      <c r="S58" s="531"/>
      <c r="T58" s="531"/>
      <c r="U58" s="531"/>
      <c r="V58" s="531"/>
      <c r="W58" s="531"/>
      <c r="X58" s="531"/>
      <c r="Y58" s="513"/>
      <c r="Z58" s="539" t="b">
        <f t="shared" si="7"/>
        <v>0</v>
      </c>
      <c r="AA58" s="513"/>
    </row>
    <row r="59" spans="1:27" s="614" customFormat="1" ht="12.75" customHeight="1">
      <c r="A59" s="4"/>
      <c r="B59" s="5"/>
      <c r="C59" s="32">
        <v>16</v>
      </c>
      <c r="D59" s="885" t="str">
        <f t="shared" si="8"/>
        <v>Process emissions sub-installation, non-CL</v>
      </c>
      <c r="E59" s="886"/>
      <c r="F59" s="887"/>
      <c r="G59" s="430"/>
      <c r="H59" s="430"/>
      <c r="I59" s="430"/>
      <c r="J59" s="430"/>
      <c r="K59" s="430"/>
      <c r="L59" s="430"/>
      <c r="M59" s="430"/>
      <c r="N59" s="430"/>
      <c r="O59" s="375"/>
      <c r="P59" s="9"/>
      <c r="Q59" s="531"/>
      <c r="R59" s="531"/>
      <c r="S59" s="531"/>
      <c r="T59" s="531"/>
      <c r="U59" s="531"/>
      <c r="V59" s="531"/>
      <c r="W59" s="531"/>
      <c r="X59" s="531"/>
      <c r="Y59" s="513"/>
      <c r="Z59" s="539" t="b">
        <f t="shared" si="7"/>
        <v>0</v>
      </c>
      <c r="AA59" s="513"/>
    </row>
    <row r="60" spans="1:27" s="614" customFormat="1" ht="12.75" customHeight="1" thickBot="1">
      <c r="A60" s="4"/>
      <c r="B60" s="5"/>
      <c r="C60" s="503">
        <v>17</v>
      </c>
      <c r="D60" s="879" t="str">
        <f>EUconst_PrivateHouseholds</f>
        <v>Private households</v>
      </c>
      <c r="E60" s="880"/>
      <c r="F60" s="881"/>
      <c r="G60" s="505"/>
      <c r="H60" s="505"/>
      <c r="I60" s="505"/>
      <c r="J60" s="505"/>
      <c r="K60" s="505"/>
      <c r="L60" s="505"/>
      <c r="M60" s="505"/>
      <c r="N60" s="505"/>
      <c r="O60" s="375"/>
      <c r="P60" s="9"/>
      <c r="Q60" s="531"/>
      <c r="R60" s="531"/>
      <c r="S60" s="531"/>
      <c r="T60" s="531"/>
      <c r="U60" s="531"/>
      <c r="V60" s="531"/>
      <c r="W60" s="531"/>
      <c r="X60" s="531"/>
      <c r="Y60" s="513"/>
      <c r="Z60" s="539" t="b">
        <f t="shared" si="7"/>
        <v>0</v>
      </c>
      <c r="AA60" s="513"/>
    </row>
    <row r="61" spans="1:27" s="614" customFormat="1" ht="12.75" customHeight="1">
      <c r="A61" s="4"/>
      <c r="B61" s="5"/>
      <c r="C61" s="20"/>
      <c r="D61" s="888" t="str">
        <f>EUconst_TotFreeAlloc</f>
        <v>Total final free allocation</v>
      </c>
      <c r="E61" s="889"/>
      <c r="F61" s="890"/>
      <c r="G61" s="220">
        <f aca="true" t="shared" si="9" ref="G61:N61">IF(COUNT(G43:G60)&gt;0,SUM(G43:G60),"")</f>
      </c>
      <c r="H61" s="220">
        <f t="shared" si="9"/>
      </c>
      <c r="I61" s="220">
        <f t="shared" si="9"/>
      </c>
      <c r="J61" s="220">
        <f t="shared" si="9"/>
      </c>
      <c r="K61" s="220">
        <f t="shared" si="9"/>
      </c>
      <c r="L61" s="220">
        <f t="shared" si="9"/>
      </c>
      <c r="M61" s="220">
        <f t="shared" si="9"/>
      </c>
      <c r="N61" s="220">
        <f t="shared" si="9"/>
      </c>
      <c r="O61" s="375"/>
      <c r="P61" s="9"/>
      <c r="Q61" s="531"/>
      <c r="R61" s="531"/>
      <c r="S61" s="531"/>
      <c r="T61" s="531"/>
      <c r="U61" s="531"/>
      <c r="V61" s="531"/>
      <c r="W61" s="531"/>
      <c r="X61" s="531"/>
      <c r="Y61" s="513"/>
      <c r="Z61" s="539" t="b">
        <f t="shared" si="7"/>
        <v>0</v>
      </c>
      <c r="AA61" s="513"/>
    </row>
    <row r="62" spans="1:27" s="614" customFormat="1" ht="12.75" customHeight="1">
      <c r="A62" s="4"/>
      <c r="B62" s="5"/>
      <c r="C62" s="5"/>
      <c r="D62" s="5"/>
      <c r="E62" s="5"/>
      <c r="F62" s="5"/>
      <c r="G62" s="5"/>
      <c r="H62" s="5"/>
      <c r="I62" s="5"/>
      <c r="J62" s="5"/>
      <c r="K62" s="5"/>
      <c r="L62" s="5"/>
      <c r="M62" s="9"/>
      <c r="N62" s="9"/>
      <c r="O62" s="375"/>
      <c r="P62" s="9"/>
      <c r="Q62" s="531"/>
      <c r="R62" s="531"/>
      <c r="S62" s="531"/>
      <c r="T62" s="531"/>
      <c r="U62" s="531"/>
      <c r="V62" s="531"/>
      <c r="W62" s="531"/>
      <c r="X62" s="531"/>
      <c r="Y62" s="531"/>
      <c r="Z62" s="531"/>
      <c r="AA62" s="513"/>
    </row>
    <row r="63" spans="1:27" s="614" customFormat="1" ht="12.75" customHeight="1">
      <c r="A63" s="4"/>
      <c r="B63" s="5"/>
      <c r="C63" s="5"/>
      <c r="D63" s="197" t="s">
        <v>1649</v>
      </c>
      <c r="E63" s="696" t="str">
        <f>Translations!$B$1574</f>
        <v>Initial installed capacity and initial annual activity level</v>
      </c>
      <c r="F63" s="695"/>
      <c r="G63" s="695"/>
      <c r="H63" s="695"/>
      <c r="I63" s="695"/>
      <c r="J63" s="695"/>
      <c r="K63" s="695"/>
      <c r="L63" s="695"/>
      <c r="M63" s="695"/>
      <c r="N63" s="695"/>
      <c r="O63" s="368"/>
      <c r="P63" s="435"/>
      <c r="Q63" s="531"/>
      <c r="R63" s="513"/>
      <c r="S63" s="513"/>
      <c r="T63" s="513"/>
      <c r="U63" s="513"/>
      <c r="V63" s="513"/>
      <c r="W63" s="513"/>
      <c r="X63" s="513"/>
      <c r="Y63" s="513"/>
      <c r="Z63" s="513"/>
      <c r="AA63" s="513"/>
    </row>
    <row r="64" spans="1:27" s="614" customFormat="1" ht="12.75" customHeight="1">
      <c r="A64" s="4"/>
      <c r="B64" s="5"/>
      <c r="C64" s="5"/>
      <c r="D64" s="197"/>
      <c r="E64" s="759" t="str">
        <f>Translations!$B$1575</f>
        <v>Please enter here the values for the capacity and the activity level which have been used for the determination of the latest final allocation.</v>
      </c>
      <c r="F64" s="674"/>
      <c r="G64" s="674"/>
      <c r="H64" s="674"/>
      <c r="I64" s="674"/>
      <c r="J64" s="674"/>
      <c r="K64" s="674"/>
      <c r="L64" s="674"/>
      <c r="M64" s="674"/>
      <c r="N64" s="674"/>
      <c r="O64" s="368"/>
      <c r="P64" s="375"/>
      <c r="Q64" s="531"/>
      <c r="R64" s="513"/>
      <c r="S64" s="513"/>
      <c r="T64" s="513"/>
      <c r="U64" s="513"/>
      <c r="V64" s="513"/>
      <c r="W64" s="513"/>
      <c r="X64" s="513"/>
      <c r="Y64" s="513"/>
      <c r="Z64" s="513"/>
      <c r="AA64" s="513"/>
    </row>
    <row r="65" spans="1:27" s="614" customFormat="1" ht="25.5" customHeight="1">
      <c r="A65" s="4"/>
      <c r="B65" s="5"/>
      <c r="C65" s="5"/>
      <c r="D65" s="197"/>
      <c r="E65" s="759" t="str">
        <f>Translations!$B$1576</f>
        <v>Those values have to reflect the current initial installed capacity and the initial annual activity level and will be used for any future changes of allocation in accordance with Articles 19 to 23 of the CIMs.</v>
      </c>
      <c r="F65" s="674"/>
      <c r="G65" s="674"/>
      <c r="H65" s="674"/>
      <c r="I65" s="674"/>
      <c r="J65" s="674"/>
      <c r="K65" s="674"/>
      <c r="L65" s="674"/>
      <c r="M65" s="674"/>
      <c r="N65" s="674"/>
      <c r="O65" s="368"/>
      <c r="P65" s="375"/>
      <c r="Q65" s="531"/>
      <c r="R65" s="513"/>
      <c r="S65" s="513"/>
      <c r="T65" s="513"/>
      <c r="U65" s="513"/>
      <c r="V65" s="513"/>
      <c r="W65" s="513"/>
      <c r="X65" s="513"/>
      <c r="Y65" s="513"/>
      <c r="Z65" s="513"/>
      <c r="AA65" s="513"/>
    </row>
    <row r="66" spans="1:27" s="618" customFormat="1" ht="38.25" customHeight="1" thickBot="1">
      <c r="A66" s="484"/>
      <c r="B66" s="429"/>
      <c r="C66" s="485"/>
      <c r="D66" s="905" t="str">
        <f>Translations!$B$440</f>
        <v>Sub-installation</v>
      </c>
      <c r="E66" s="906"/>
      <c r="F66" s="906"/>
      <c r="G66" s="907"/>
      <c r="H66" s="69" t="str">
        <f>EUconst_Unit</f>
        <v>Unit</v>
      </c>
      <c r="I66" s="69" t="str">
        <f>Translations!$B$1030</f>
        <v>Initial installed capacity</v>
      </c>
      <c r="J66" s="486" t="str">
        <f>Translations!$B$1187</f>
        <v>Initial annual activity level </v>
      </c>
      <c r="K66" s="478" t="str">
        <f>Translations!$B$1103</f>
        <v>error message</v>
      </c>
      <c r="L66" s="375"/>
      <c r="M66" s="375"/>
      <c r="N66" s="375"/>
      <c r="O66" s="487"/>
      <c r="P66" s="488"/>
      <c r="Q66" s="546"/>
      <c r="R66" s="546"/>
      <c r="S66" s="546"/>
      <c r="T66" s="546"/>
      <c r="U66" s="546"/>
      <c r="V66" s="540" t="s">
        <v>1968</v>
      </c>
      <c r="W66" s="546"/>
      <c r="X66" s="546"/>
      <c r="Y66" s="546"/>
      <c r="Z66" s="546"/>
      <c r="AA66" s="547"/>
    </row>
    <row r="67" spans="1:27" s="614" customFormat="1" ht="12.75" customHeight="1">
      <c r="A67" s="4"/>
      <c r="B67" s="5"/>
      <c r="C67" s="32">
        <v>1</v>
      </c>
      <c r="D67" s="902">
        <f aca="true" t="shared" si="10" ref="D67:D76">IF(D19="","",D19)</f>
      </c>
      <c r="E67" s="903"/>
      <c r="F67" s="903"/>
      <c r="G67" s="904"/>
      <c r="H67" s="68">
        <f aca="true" t="shared" si="11" ref="H67:H76">IF(D67&lt;&gt;"",INDEX(EUconst_BMlistUnits,MATCH($D67,EUconst_BMlistNames,0))&amp;" / "&amp;EUconst_Year,"")</f>
      </c>
      <c r="I67" s="623"/>
      <c r="J67" s="623"/>
      <c r="K67" s="489">
        <f aca="true" t="shared" si="12" ref="K67:K76">IF(D67="","",IF(COUNT(I67:J67)&lt;2,EUconst_Incomplete,""))</f>
      </c>
      <c r="L67" s="375"/>
      <c r="M67" s="375"/>
      <c r="N67" s="375"/>
      <c r="O67" s="375"/>
      <c r="P67" s="372"/>
      <c r="Q67" s="542" t="str">
        <f aca="true" t="shared" si="13" ref="Q67:Q82">EUconst_CNTR_CAPINI&amp;$V67&amp;"_"&amp;$D67</f>
        <v>CAPINI_1_</v>
      </c>
      <c r="R67" s="542" t="str">
        <f aca="true" t="shared" si="14" ref="R67:R82">EUconst_CNTR_HAL&amp;$V67&amp;"_"&amp;$D67</f>
        <v>HAL_1_</v>
      </c>
      <c r="S67" s="542" t="str">
        <f aca="true" t="shared" si="15" ref="S67:S76">EUconst_CNTR_HAL&amp;$V67&amp;"_"&amp;$C67</f>
        <v>HAL_1_1</v>
      </c>
      <c r="T67" s="531"/>
      <c r="U67" s="531"/>
      <c r="V67" s="543">
        <f>V35</f>
        <v>1</v>
      </c>
      <c r="W67" s="531"/>
      <c r="X67" s="531"/>
      <c r="Y67" s="542">
        <f>M11</f>
      </c>
      <c r="Z67" s="539" t="b">
        <f>AND(Y67&lt;&gt;"",D19="")</f>
        <v>0</v>
      </c>
      <c r="AA67" s="513"/>
    </row>
    <row r="68" spans="1:27" s="614" customFormat="1" ht="12.75" customHeight="1">
      <c r="A68" s="4"/>
      <c r="B68" s="5"/>
      <c r="C68" s="32">
        <v>2</v>
      </c>
      <c r="D68" s="873">
        <f t="shared" si="10"/>
      </c>
      <c r="E68" s="874"/>
      <c r="F68" s="874"/>
      <c r="G68" s="875"/>
      <c r="H68" s="67">
        <f t="shared" si="11"/>
      </c>
      <c r="I68" s="624"/>
      <c r="J68" s="624"/>
      <c r="K68" s="490">
        <f t="shared" si="12"/>
      </c>
      <c r="L68" s="375"/>
      <c r="M68" s="375"/>
      <c r="N68" s="375"/>
      <c r="O68" s="375"/>
      <c r="P68" s="372"/>
      <c r="Q68" s="542" t="str">
        <f t="shared" si="13"/>
        <v>CAPINI_1_</v>
      </c>
      <c r="R68" s="542" t="str">
        <f t="shared" si="14"/>
        <v>HAL_1_</v>
      </c>
      <c r="S68" s="542" t="str">
        <f t="shared" si="15"/>
        <v>HAL_1_2</v>
      </c>
      <c r="T68" s="531"/>
      <c r="U68" s="531"/>
      <c r="V68" s="544">
        <f aca="true" t="shared" si="16" ref="V68:V82">V67</f>
        <v>1</v>
      </c>
      <c r="W68" s="531"/>
      <c r="X68" s="531"/>
      <c r="Y68" s="542">
        <f>Y67</f>
      </c>
      <c r="Z68" s="539" t="b">
        <f aca="true" t="shared" si="17" ref="Z68:Z76">AND(Y68&lt;&gt;"",D20="")</f>
        <v>0</v>
      </c>
      <c r="AA68" s="513"/>
    </row>
    <row r="69" spans="1:27" s="614" customFormat="1" ht="12.75" customHeight="1">
      <c r="A69" s="4"/>
      <c r="B69" s="5"/>
      <c r="C69" s="32">
        <v>3</v>
      </c>
      <c r="D69" s="873">
        <f t="shared" si="10"/>
      </c>
      <c r="E69" s="874"/>
      <c r="F69" s="874"/>
      <c r="G69" s="875"/>
      <c r="H69" s="67">
        <f t="shared" si="11"/>
      </c>
      <c r="I69" s="624"/>
      <c r="J69" s="624"/>
      <c r="K69" s="490">
        <f t="shared" si="12"/>
      </c>
      <c r="L69" s="375"/>
      <c r="M69" s="375"/>
      <c r="N69" s="375"/>
      <c r="O69" s="375"/>
      <c r="P69" s="372"/>
      <c r="Q69" s="542" t="str">
        <f t="shared" si="13"/>
        <v>CAPINI_1_</v>
      </c>
      <c r="R69" s="542" t="str">
        <f t="shared" si="14"/>
        <v>HAL_1_</v>
      </c>
      <c r="S69" s="542" t="str">
        <f t="shared" si="15"/>
        <v>HAL_1_3</v>
      </c>
      <c r="T69" s="531"/>
      <c r="U69" s="531"/>
      <c r="V69" s="544">
        <f t="shared" si="16"/>
        <v>1</v>
      </c>
      <c r="W69" s="531"/>
      <c r="X69" s="531"/>
      <c r="Y69" s="542">
        <f aca="true" t="shared" si="18" ref="Y69:Y82">Y68</f>
      </c>
      <c r="Z69" s="539" t="b">
        <f t="shared" si="17"/>
        <v>0</v>
      </c>
      <c r="AA69" s="513"/>
    </row>
    <row r="70" spans="1:27" s="614" customFormat="1" ht="12.75" customHeight="1">
      <c r="A70" s="4"/>
      <c r="B70" s="5"/>
      <c r="C70" s="32">
        <v>4</v>
      </c>
      <c r="D70" s="873">
        <f t="shared" si="10"/>
      </c>
      <c r="E70" s="874"/>
      <c r="F70" s="874"/>
      <c r="G70" s="875"/>
      <c r="H70" s="67">
        <f t="shared" si="11"/>
      </c>
      <c r="I70" s="624"/>
      <c r="J70" s="624"/>
      <c r="K70" s="490">
        <f t="shared" si="12"/>
      </c>
      <c r="L70" s="375"/>
      <c r="M70" s="375"/>
      <c r="N70" s="375"/>
      <c r="O70" s="375"/>
      <c r="P70" s="372"/>
      <c r="Q70" s="542" t="str">
        <f t="shared" si="13"/>
        <v>CAPINI_1_</v>
      </c>
      <c r="R70" s="542" t="str">
        <f t="shared" si="14"/>
        <v>HAL_1_</v>
      </c>
      <c r="S70" s="542" t="str">
        <f t="shared" si="15"/>
        <v>HAL_1_4</v>
      </c>
      <c r="T70" s="531"/>
      <c r="U70" s="531"/>
      <c r="V70" s="544">
        <f t="shared" si="16"/>
        <v>1</v>
      </c>
      <c r="W70" s="531"/>
      <c r="X70" s="531"/>
      <c r="Y70" s="542">
        <f t="shared" si="18"/>
      </c>
      <c r="Z70" s="539" t="b">
        <f t="shared" si="17"/>
        <v>0</v>
      </c>
      <c r="AA70" s="513"/>
    </row>
    <row r="71" spans="1:27" s="614" customFormat="1" ht="12.75" customHeight="1">
      <c r="A71" s="4"/>
      <c r="B71" s="5"/>
      <c r="C71" s="32">
        <v>5</v>
      </c>
      <c r="D71" s="873">
        <f t="shared" si="10"/>
      </c>
      <c r="E71" s="874"/>
      <c r="F71" s="874"/>
      <c r="G71" s="875"/>
      <c r="H71" s="67">
        <f t="shared" si="11"/>
      </c>
      <c r="I71" s="624"/>
      <c r="J71" s="624"/>
      <c r="K71" s="490">
        <f t="shared" si="12"/>
      </c>
      <c r="L71" s="375"/>
      <c r="M71" s="375"/>
      <c r="N71" s="435"/>
      <c r="O71" s="375"/>
      <c r="P71" s="372"/>
      <c r="Q71" s="542" t="str">
        <f t="shared" si="13"/>
        <v>CAPINI_1_</v>
      </c>
      <c r="R71" s="542" t="str">
        <f t="shared" si="14"/>
        <v>HAL_1_</v>
      </c>
      <c r="S71" s="542" t="str">
        <f t="shared" si="15"/>
        <v>HAL_1_5</v>
      </c>
      <c r="T71" s="531"/>
      <c r="U71" s="531"/>
      <c r="V71" s="544">
        <f t="shared" si="16"/>
        <v>1</v>
      </c>
      <c r="W71" s="531"/>
      <c r="X71" s="531"/>
      <c r="Y71" s="542">
        <f t="shared" si="18"/>
      </c>
      <c r="Z71" s="539" t="b">
        <f t="shared" si="17"/>
        <v>0</v>
      </c>
      <c r="AA71" s="513"/>
    </row>
    <row r="72" spans="1:27" s="614" customFormat="1" ht="12.75" customHeight="1">
      <c r="A72" s="4"/>
      <c r="B72" s="5"/>
      <c r="C72" s="32">
        <v>6</v>
      </c>
      <c r="D72" s="873">
        <f t="shared" si="10"/>
      </c>
      <c r="E72" s="874"/>
      <c r="F72" s="874"/>
      <c r="G72" s="875"/>
      <c r="H72" s="67">
        <f t="shared" si="11"/>
      </c>
      <c r="I72" s="624"/>
      <c r="J72" s="624"/>
      <c r="K72" s="490">
        <f t="shared" si="12"/>
      </c>
      <c r="L72" s="375"/>
      <c r="M72" s="375"/>
      <c r="N72" s="375"/>
      <c r="O72" s="375"/>
      <c r="P72" s="9"/>
      <c r="Q72" s="542" t="str">
        <f t="shared" si="13"/>
        <v>CAPINI_1_</v>
      </c>
      <c r="R72" s="542" t="str">
        <f t="shared" si="14"/>
        <v>HAL_1_</v>
      </c>
      <c r="S72" s="542" t="str">
        <f t="shared" si="15"/>
        <v>HAL_1_6</v>
      </c>
      <c r="T72" s="531"/>
      <c r="U72" s="531"/>
      <c r="V72" s="544">
        <f t="shared" si="16"/>
        <v>1</v>
      </c>
      <c r="W72" s="531"/>
      <c r="X72" s="531"/>
      <c r="Y72" s="542">
        <f t="shared" si="18"/>
      </c>
      <c r="Z72" s="539" t="b">
        <f t="shared" si="17"/>
        <v>0</v>
      </c>
      <c r="AA72" s="513"/>
    </row>
    <row r="73" spans="1:27" s="614" customFormat="1" ht="12.75" customHeight="1">
      <c r="A73" s="4"/>
      <c r="B73" s="5"/>
      <c r="C73" s="32">
        <v>7</v>
      </c>
      <c r="D73" s="873">
        <f t="shared" si="10"/>
      </c>
      <c r="E73" s="874"/>
      <c r="F73" s="874"/>
      <c r="G73" s="875"/>
      <c r="H73" s="67">
        <f t="shared" si="11"/>
      </c>
      <c r="I73" s="624"/>
      <c r="J73" s="624"/>
      <c r="K73" s="490">
        <f t="shared" si="12"/>
      </c>
      <c r="L73" s="375"/>
      <c r="M73" s="375"/>
      <c r="N73" s="375"/>
      <c r="O73" s="375"/>
      <c r="P73" s="9"/>
      <c r="Q73" s="542" t="str">
        <f t="shared" si="13"/>
        <v>CAPINI_1_</v>
      </c>
      <c r="R73" s="542" t="str">
        <f t="shared" si="14"/>
        <v>HAL_1_</v>
      </c>
      <c r="S73" s="542" t="str">
        <f t="shared" si="15"/>
        <v>HAL_1_7</v>
      </c>
      <c r="T73" s="531"/>
      <c r="U73" s="531"/>
      <c r="V73" s="544">
        <f t="shared" si="16"/>
        <v>1</v>
      </c>
      <c r="W73" s="531"/>
      <c r="X73" s="531"/>
      <c r="Y73" s="542">
        <f t="shared" si="18"/>
      </c>
      <c r="Z73" s="539" t="b">
        <f t="shared" si="17"/>
        <v>0</v>
      </c>
      <c r="AA73" s="513"/>
    </row>
    <row r="74" spans="1:27" s="614" customFormat="1" ht="12.75" customHeight="1">
      <c r="A74" s="4"/>
      <c r="B74" s="5"/>
      <c r="C74" s="32">
        <v>8</v>
      </c>
      <c r="D74" s="873">
        <f t="shared" si="10"/>
      </c>
      <c r="E74" s="874"/>
      <c r="F74" s="874"/>
      <c r="G74" s="875"/>
      <c r="H74" s="67">
        <f t="shared" si="11"/>
      </c>
      <c r="I74" s="624"/>
      <c r="J74" s="624"/>
      <c r="K74" s="490">
        <f t="shared" si="12"/>
      </c>
      <c r="L74" s="375"/>
      <c r="M74" s="375"/>
      <c r="N74" s="375"/>
      <c r="O74" s="375"/>
      <c r="P74" s="9"/>
      <c r="Q74" s="542" t="str">
        <f t="shared" si="13"/>
        <v>CAPINI_1_</v>
      </c>
      <c r="R74" s="542" t="str">
        <f t="shared" si="14"/>
        <v>HAL_1_</v>
      </c>
      <c r="S74" s="542" t="str">
        <f t="shared" si="15"/>
        <v>HAL_1_8</v>
      </c>
      <c r="T74" s="531"/>
      <c r="U74" s="531"/>
      <c r="V74" s="544">
        <f t="shared" si="16"/>
        <v>1</v>
      </c>
      <c r="W74" s="531"/>
      <c r="X74" s="531"/>
      <c r="Y74" s="542">
        <f t="shared" si="18"/>
      </c>
      <c r="Z74" s="539" t="b">
        <f t="shared" si="17"/>
        <v>0</v>
      </c>
      <c r="AA74" s="513"/>
    </row>
    <row r="75" spans="1:27" s="614" customFormat="1" ht="12.75" customHeight="1">
      <c r="A75" s="4"/>
      <c r="B75" s="5"/>
      <c r="C75" s="32">
        <v>9</v>
      </c>
      <c r="D75" s="873">
        <f t="shared" si="10"/>
      </c>
      <c r="E75" s="874"/>
      <c r="F75" s="874"/>
      <c r="G75" s="875"/>
      <c r="H75" s="67">
        <f t="shared" si="11"/>
      </c>
      <c r="I75" s="624"/>
      <c r="J75" s="624"/>
      <c r="K75" s="490">
        <f t="shared" si="12"/>
      </c>
      <c r="L75" s="375"/>
      <c r="M75" s="375"/>
      <c r="N75" s="375"/>
      <c r="O75" s="375"/>
      <c r="P75" s="9"/>
      <c r="Q75" s="542" t="str">
        <f t="shared" si="13"/>
        <v>CAPINI_1_</v>
      </c>
      <c r="R75" s="542" t="str">
        <f t="shared" si="14"/>
        <v>HAL_1_</v>
      </c>
      <c r="S75" s="542" t="str">
        <f t="shared" si="15"/>
        <v>HAL_1_9</v>
      </c>
      <c r="T75" s="531"/>
      <c r="U75" s="531"/>
      <c r="V75" s="544">
        <f t="shared" si="16"/>
        <v>1</v>
      </c>
      <c r="W75" s="531"/>
      <c r="X75" s="531"/>
      <c r="Y75" s="542">
        <f t="shared" si="18"/>
      </c>
      <c r="Z75" s="539" t="b">
        <f t="shared" si="17"/>
        <v>0</v>
      </c>
      <c r="AA75" s="513"/>
    </row>
    <row r="76" spans="1:27" s="614" customFormat="1" ht="12.75" customHeight="1">
      <c r="A76" s="4"/>
      <c r="B76" s="5"/>
      <c r="C76" s="28">
        <v>10</v>
      </c>
      <c r="D76" s="896">
        <f t="shared" si="10"/>
      </c>
      <c r="E76" s="897"/>
      <c r="F76" s="897"/>
      <c r="G76" s="898"/>
      <c r="H76" s="66">
        <f t="shared" si="11"/>
      </c>
      <c r="I76" s="625"/>
      <c r="J76" s="625"/>
      <c r="K76" s="491">
        <f t="shared" si="12"/>
      </c>
      <c r="L76" s="375"/>
      <c r="M76" s="375"/>
      <c r="N76" s="375"/>
      <c r="O76" s="375"/>
      <c r="P76" s="9"/>
      <c r="Q76" s="542" t="str">
        <f t="shared" si="13"/>
        <v>CAPINI_1_</v>
      </c>
      <c r="R76" s="542" t="str">
        <f t="shared" si="14"/>
        <v>HAL_1_</v>
      </c>
      <c r="S76" s="542" t="str">
        <f t="shared" si="15"/>
        <v>HAL_1_10</v>
      </c>
      <c r="T76" s="531"/>
      <c r="U76" s="531"/>
      <c r="V76" s="544">
        <f t="shared" si="16"/>
        <v>1</v>
      </c>
      <c r="W76" s="531"/>
      <c r="X76" s="531"/>
      <c r="Y76" s="542">
        <f t="shared" si="18"/>
      </c>
      <c r="Z76" s="539" t="b">
        <f t="shared" si="17"/>
        <v>0</v>
      </c>
      <c r="AA76" s="513"/>
    </row>
    <row r="77" spans="1:27" s="614" customFormat="1" ht="12.75" customHeight="1">
      <c r="A77" s="4"/>
      <c r="B77" s="5"/>
      <c r="C77" s="32">
        <v>11</v>
      </c>
      <c r="D77" s="882" t="str">
        <f aca="true" t="shared" si="19" ref="D77:D82">INDEX(EUconst_FallBackListNames,C77-10)</f>
        <v>Heat benchmark sub-installation, CL</v>
      </c>
      <c r="E77" s="883"/>
      <c r="F77" s="883"/>
      <c r="G77" s="884"/>
      <c r="H77" s="68" t="str">
        <f aca="true" t="shared" si="20" ref="H77:H82">IF(D77&lt;&gt;"",INDEX(EUconst_FallBackListUnits,MATCH($D77,EUconst_FallBackListNames,0))&amp;" / "&amp;EUconst_Year,"")</f>
        <v>TJ / year</v>
      </c>
      <c r="I77" s="623"/>
      <c r="J77" s="623"/>
      <c r="K77" s="492">
        <f aca="true" t="shared" si="21" ref="K77:K82">IF(Y77="","",IF(AND(COUNT(G54:N54)&gt;0,COUNT(I77:J77)&lt;2),EUconst_Incomplete,""))</f>
      </c>
      <c r="L77" s="375"/>
      <c r="M77" s="375"/>
      <c r="N77" s="375"/>
      <c r="O77" s="375"/>
      <c r="P77" s="9"/>
      <c r="Q77" s="542" t="str">
        <f t="shared" si="13"/>
        <v>CAPINI_1_Heat benchmark sub-installation, CL</v>
      </c>
      <c r="R77" s="542" t="str">
        <f t="shared" si="14"/>
        <v>HAL_1_Heat benchmark sub-installation, CL</v>
      </c>
      <c r="S77" s="531"/>
      <c r="T77" s="531"/>
      <c r="U77" s="531"/>
      <c r="V77" s="544">
        <f t="shared" si="16"/>
        <v>1</v>
      </c>
      <c r="W77" s="531"/>
      <c r="X77" s="531"/>
      <c r="Y77" s="542">
        <f t="shared" si="18"/>
      </c>
      <c r="Z77" s="539" t="b">
        <f aca="true" t="shared" si="22" ref="Z77:Z82">AND(Y77&lt;&gt;"",COUNT(G29:N29)=0)</f>
        <v>0</v>
      </c>
      <c r="AA77" s="513"/>
    </row>
    <row r="78" spans="1:27" s="614" customFormat="1" ht="12.75" customHeight="1">
      <c r="A78" s="4"/>
      <c r="B78" s="5"/>
      <c r="C78" s="32">
        <v>12</v>
      </c>
      <c r="D78" s="876" t="str">
        <f t="shared" si="19"/>
        <v>Heat benchmark sub-installation, non-CL</v>
      </c>
      <c r="E78" s="877"/>
      <c r="F78" s="877"/>
      <c r="G78" s="878"/>
      <c r="H78" s="67" t="str">
        <f t="shared" si="20"/>
        <v>TJ / year</v>
      </c>
      <c r="I78" s="624"/>
      <c r="J78" s="624"/>
      <c r="K78" s="490">
        <f t="shared" si="21"/>
      </c>
      <c r="L78" s="375"/>
      <c r="M78" s="375"/>
      <c r="N78" s="375"/>
      <c r="O78" s="375"/>
      <c r="P78" s="9"/>
      <c r="Q78" s="542" t="str">
        <f t="shared" si="13"/>
        <v>CAPINI_1_Heat benchmark sub-installation, non-CL</v>
      </c>
      <c r="R78" s="542" t="str">
        <f t="shared" si="14"/>
        <v>HAL_1_Heat benchmark sub-installation, non-CL</v>
      </c>
      <c r="S78" s="531"/>
      <c r="T78" s="531"/>
      <c r="U78" s="531"/>
      <c r="V78" s="544">
        <f t="shared" si="16"/>
        <v>1</v>
      </c>
      <c r="W78" s="531"/>
      <c r="X78" s="531"/>
      <c r="Y78" s="542">
        <f t="shared" si="18"/>
      </c>
      <c r="Z78" s="539" t="b">
        <f t="shared" si="22"/>
        <v>0</v>
      </c>
      <c r="AA78" s="513"/>
    </row>
    <row r="79" spans="1:27" s="614" customFormat="1" ht="12.75" customHeight="1">
      <c r="A79" s="4"/>
      <c r="B79" s="5"/>
      <c r="C79" s="32">
        <v>13</v>
      </c>
      <c r="D79" s="876" t="str">
        <f t="shared" si="19"/>
        <v>Fuel benchmark sub-installation, CL</v>
      </c>
      <c r="E79" s="877"/>
      <c r="F79" s="877"/>
      <c r="G79" s="878"/>
      <c r="H79" s="67" t="str">
        <f t="shared" si="20"/>
        <v>TJ / year</v>
      </c>
      <c r="I79" s="624"/>
      <c r="J79" s="624"/>
      <c r="K79" s="490">
        <f t="shared" si="21"/>
      </c>
      <c r="L79" s="375"/>
      <c r="M79" s="375"/>
      <c r="N79" s="375"/>
      <c r="O79" s="375"/>
      <c r="P79" s="9"/>
      <c r="Q79" s="542" t="str">
        <f t="shared" si="13"/>
        <v>CAPINI_1_Fuel benchmark sub-installation, CL</v>
      </c>
      <c r="R79" s="542" t="str">
        <f t="shared" si="14"/>
        <v>HAL_1_Fuel benchmark sub-installation, CL</v>
      </c>
      <c r="S79" s="531"/>
      <c r="T79" s="531"/>
      <c r="U79" s="531"/>
      <c r="V79" s="544">
        <f t="shared" si="16"/>
        <v>1</v>
      </c>
      <c r="W79" s="531"/>
      <c r="X79" s="531"/>
      <c r="Y79" s="542">
        <f t="shared" si="18"/>
      </c>
      <c r="Z79" s="539" t="b">
        <f t="shared" si="22"/>
        <v>0</v>
      </c>
      <c r="AA79" s="513"/>
    </row>
    <row r="80" spans="1:27" s="614" customFormat="1" ht="12.75" customHeight="1">
      <c r="A80" s="4"/>
      <c r="B80" s="5"/>
      <c r="C80" s="32">
        <v>14</v>
      </c>
      <c r="D80" s="876" t="str">
        <f t="shared" si="19"/>
        <v>Fuel benchmark sub-installation, non-CL</v>
      </c>
      <c r="E80" s="877"/>
      <c r="F80" s="877"/>
      <c r="G80" s="878"/>
      <c r="H80" s="67" t="str">
        <f t="shared" si="20"/>
        <v>TJ / year</v>
      </c>
      <c r="I80" s="624"/>
      <c r="J80" s="624"/>
      <c r="K80" s="490">
        <f t="shared" si="21"/>
      </c>
      <c r="L80" s="375"/>
      <c r="M80" s="375"/>
      <c r="N80" s="375"/>
      <c r="O80" s="375"/>
      <c r="P80" s="9"/>
      <c r="Q80" s="542" t="str">
        <f t="shared" si="13"/>
        <v>CAPINI_1_Fuel benchmark sub-installation, non-CL</v>
      </c>
      <c r="R80" s="542" t="str">
        <f t="shared" si="14"/>
        <v>HAL_1_Fuel benchmark sub-installation, non-CL</v>
      </c>
      <c r="S80" s="531"/>
      <c r="T80" s="531"/>
      <c r="U80" s="531"/>
      <c r="V80" s="544">
        <f t="shared" si="16"/>
        <v>1</v>
      </c>
      <c r="W80" s="531"/>
      <c r="X80" s="531"/>
      <c r="Y80" s="542">
        <f t="shared" si="18"/>
      </c>
      <c r="Z80" s="539" t="b">
        <f t="shared" si="22"/>
        <v>0</v>
      </c>
      <c r="AA80" s="513"/>
    </row>
    <row r="81" spans="1:27" s="614" customFormat="1" ht="12.75" customHeight="1">
      <c r="A81" s="4"/>
      <c r="B81" s="5"/>
      <c r="C81" s="32">
        <v>15</v>
      </c>
      <c r="D81" s="876" t="str">
        <f t="shared" si="19"/>
        <v>Process emissions sub-installation, CL</v>
      </c>
      <c r="E81" s="877"/>
      <c r="F81" s="877"/>
      <c r="G81" s="878"/>
      <c r="H81" s="67" t="str">
        <f t="shared" si="20"/>
        <v>t CO2e / year</v>
      </c>
      <c r="I81" s="624"/>
      <c r="J81" s="624"/>
      <c r="K81" s="490">
        <f t="shared" si="21"/>
      </c>
      <c r="L81" s="375"/>
      <c r="M81" s="375"/>
      <c r="N81" s="375"/>
      <c r="O81" s="375"/>
      <c r="P81" s="9"/>
      <c r="Q81" s="542" t="str">
        <f t="shared" si="13"/>
        <v>CAPINI_1_Process emissions sub-installation, CL</v>
      </c>
      <c r="R81" s="542" t="str">
        <f t="shared" si="14"/>
        <v>HAL_1_Process emissions sub-installation, CL</v>
      </c>
      <c r="S81" s="531"/>
      <c r="T81" s="531"/>
      <c r="U81" s="531"/>
      <c r="V81" s="544">
        <f t="shared" si="16"/>
        <v>1</v>
      </c>
      <c r="W81" s="531"/>
      <c r="X81" s="531"/>
      <c r="Y81" s="542">
        <f t="shared" si="18"/>
      </c>
      <c r="Z81" s="539" t="b">
        <f t="shared" si="22"/>
        <v>0</v>
      </c>
      <c r="AA81" s="513"/>
    </row>
    <row r="82" spans="1:27" s="614" customFormat="1" ht="12.75" customHeight="1" thickBot="1">
      <c r="A82" s="4"/>
      <c r="B82" s="5"/>
      <c r="C82" s="28">
        <v>16</v>
      </c>
      <c r="D82" s="885" t="str">
        <f t="shared" si="19"/>
        <v>Process emissions sub-installation, non-CL</v>
      </c>
      <c r="E82" s="886"/>
      <c r="F82" s="886"/>
      <c r="G82" s="887"/>
      <c r="H82" s="66" t="str">
        <f t="shared" si="20"/>
        <v>t CO2e / year</v>
      </c>
      <c r="I82" s="625"/>
      <c r="J82" s="625"/>
      <c r="K82" s="491">
        <f t="shared" si="21"/>
      </c>
      <c r="L82" s="375"/>
      <c r="M82" s="375"/>
      <c r="N82" s="375"/>
      <c r="O82" s="375"/>
      <c r="P82" s="9"/>
      <c r="Q82" s="542" t="str">
        <f t="shared" si="13"/>
        <v>CAPINI_1_Process emissions sub-installation, non-CL</v>
      </c>
      <c r="R82" s="542" t="str">
        <f t="shared" si="14"/>
        <v>HAL_1_Process emissions sub-installation, non-CL</v>
      </c>
      <c r="S82" s="531"/>
      <c r="T82" s="531"/>
      <c r="U82" s="531"/>
      <c r="V82" s="545">
        <f t="shared" si="16"/>
        <v>1</v>
      </c>
      <c r="W82" s="531"/>
      <c r="X82" s="531"/>
      <c r="Y82" s="542">
        <f t="shared" si="18"/>
      </c>
      <c r="Z82" s="539" t="b">
        <f t="shared" si="22"/>
        <v>0</v>
      </c>
      <c r="AA82" s="513"/>
    </row>
    <row r="83" spans="1:27" s="614" customFormat="1" ht="25.5" customHeight="1" thickBot="1">
      <c r="A83" s="4"/>
      <c r="B83" s="5"/>
      <c r="C83" s="400"/>
      <c r="D83" s="400"/>
      <c r="E83" s="426"/>
      <c r="F83" s="426"/>
      <c r="G83" s="426"/>
      <c r="H83" s="426"/>
      <c r="I83" s="427"/>
      <c r="J83" s="431"/>
      <c r="K83" s="400"/>
      <c r="L83" s="400"/>
      <c r="M83" s="400"/>
      <c r="N83" s="400"/>
      <c r="O83" s="375"/>
      <c r="P83" s="9"/>
      <c r="Q83" s="531"/>
      <c r="R83" s="531"/>
      <c r="S83" s="531"/>
      <c r="T83" s="531"/>
      <c r="U83" s="531"/>
      <c r="V83" s="531"/>
      <c r="W83" s="531"/>
      <c r="X83" s="531"/>
      <c r="Y83" s="531"/>
      <c r="Z83" s="531"/>
      <c r="AA83" s="513"/>
    </row>
    <row r="84" spans="1:27" s="614" customFormat="1" ht="4.5" customHeight="1" thickBot="1">
      <c r="A84" s="4"/>
      <c r="B84" s="5"/>
      <c r="C84" s="7"/>
      <c r="D84" s="5"/>
      <c r="E84" s="5"/>
      <c r="F84" s="5"/>
      <c r="G84" s="5"/>
      <c r="H84" s="5"/>
      <c r="I84" s="5"/>
      <c r="J84" s="5"/>
      <c r="K84" s="5"/>
      <c r="L84" s="5"/>
      <c r="M84" s="9"/>
      <c r="N84" s="9"/>
      <c r="O84" s="366"/>
      <c r="P84" s="9"/>
      <c r="Q84" s="531"/>
      <c r="R84" s="513"/>
      <c r="S84" s="513"/>
      <c r="T84" s="513"/>
      <c r="U84" s="513"/>
      <c r="V84" s="513"/>
      <c r="W84" s="513"/>
      <c r="X84" s="513"/>
      <c r="Y84" s="513"/>
      <c r="Z84" s="513"/>
      <c r="AA84" s="513"/>
    </row>
    <row r="85" spans="1:27" s="617" customFormat="1" ht="18" customHeight="1" thickBot="1">
      <c r="A85" s="214"/>
      <c r="B85" s="215"/>
      <c r="C85" s="391">
        <v>2</v>
      </c>
      <c r="D85" s="894" t="str">
        <f>Translations!$B$1492&amp;" "&amp;C85&amp;":"</f>
        <v>Installation BEFORE merger, split or transfer 2:</v>
      </c>
      <c r="E85" s="894"/>
      <c r="F85" s="894"/>
      <c r="G85" s="894"/>
      <c r="H85" s="894"/>
      <c r="I85" s="217"/>
      <c r="J85" s="5"/>
      <c r="K85" s="891">
        <f>INDEX(A_InstallationData!$J$188:$J$254,MATCH($C85,A_InstallationData!$R$188:$R$254,0))</f>
      </c>
      <c r="L85" s="892"/>
      <c r="M85" s="892"/>
      <c r="N85" s="893"/>
      <c r="O85" s="393"/>
      <c r="P85" s="383"/>
      <c r="Q85" s="536"/>
      <c r="R85" s="536"/>
      <c r="S85" s="536"/>
      <c r="T85" s="513"/>
      <c r="U85" s="536"/>
      <c r="V85" s="536"/>
      <c r="W85" s="536"/>
      <c r="X85" s="536"/>
      <c r="Y85" s="536"/>
      <c r="Z85" s="538" t="s">
        <v>1034</v>
      </c>
      <c r="AA85" s="513"/>
    </row>
    <row r="86" spans="1:27" s="614" customFormat="1" ht="18" customHeight="1">
      <c r="A86" s="4"/>
      <c r="B86" s="5"/>
      <c r="C86" s="7"/>
      <c r="D86" s="5"/>
      <c r="E86" s="9"/>
      <c r="F86" s="5"/>
      <c r="G86" s="5"/>
      <c r="H86" s="5"/>
      <c r="I86" s="5"/>
      <c r="J86" s="5"/>
      <c r="K86" s="5"/>
      <c r="L86" s="5"/>
      <c r="M86" s="895">
        <f>IF(CNTR_Merger&lt;&gt;TRUE,"",IF(K85="",EUconst_NotRelevant,EUconst_Relevant))</f>
      </c>
      <c r="N86" s="895"/>
      <c r="O86" s="366"/>
      <c r="P86" s="9"/>
      <c r="Q86" s="531"/>
      <c r="R86" s="513"/>
      <c r="S86" s="513"/>
      <c r="T86" s="513"/>
      <c r="U86" s="513"/>
      <c r="V86" s="513"/>
      <c r="W86" s="513"/>
      <c r="X86" s="513"/>
      <c r="Y86" s="513"/>
      <c r="Z86" s="513"/>
      <c r="AA86" s="513"/>
    </row>
    <row r="87" spans="1:27" s="614" customFormat="1" ht="12.75" customHeight="1">
      <c r="A87" s="4"/>
      <c r="B87" s="5"/>
      <c r="C87" s="7"/>
      <c r="D87" s="5"/>
      <c r="E87" s="5"/>
      <c r="F87" s="5"/>
      <c r="G87" s="5"/>
      <c r="H87" s="5"/>
      <c r="I87" s="5"/>
      <c r="J87" s="5"/>
      <c r="K87" s="5"/>
      <c r="L87" s="5"/>
      <c r="M87" s="9"/>
      <c r="N87" s="9"/>
      <c r="O87" s="366"/>
      <c r="P87" s="9"/>
      <c r="Q87" s="531"/>
      <c r="R87" s="513"/>
      <c r="S87" s="513"/>
      <c r="T87" s="513"/>
      <c r="U87" s="513"/>
      <c r="V87" s="513"/>
      <c r="W87" s="513"/>
      <c r="X87" s="513"/>
      <c r="Y87" s="513"/>
      <c r="Z87" s="513"/>
      <c r="AA87" s="513"/>
    </row>
    <row r="88" spans="1:27" s="614" customFormat="1" ht="12.75" customHeight="1">
      <c r="A88" s="4"/>
      <c r="B88" s="5"/>
      <c r="C88" s="5"/>
      <c r="D88" s="197" t="s">
        <v>1680</v>
      </c>
      <c r="E88" s="696" t="str">
        <f>Translations!$B$1570</f>
        <v>Latest final allocation without adjustment factors for any partial cessations</v>
      </c>
      <c r="F88" s="695"/>
      <c r="G88" s="695"/>
      <c r="H88" s="695"/>
      <c r="I88" s="695"/>
      <c r="J88" s="695"/>
      <c r="K88" s="695"/>
      <c r="L88" s="695"/>
      <c r="M88" s="695"/>
      <c r="N88" s="695"/>
      <c r="O88" s="368"/>
      <c r="P88" s="435"/>
      <c r="Q88" s="531"/>
      <c r="R88" s="513"/>
      <c r="S88" s="513"/>
      <c r="T88" s="513"/>
      <c r="U88" s="513"/>
      <c r="V88" s="513"/>
      <c r="W88" s="513"/>
      <c r="X88" s="513"/>
      <c r="Y88" s="513"/>
      <c r="Z88" s="513"/>
      <c r="AA88" s="513"/>
    </row>
    <row r="89" spans="1:27" s="614" customFormat="1" ht="12.75" customHeight="1">
      <c r="A89" s="4"/>
      <c r="B89" s="5"/>
      <c r="C89" s="7"/>
      <c r="D89" s="5"/>
      <c r="E89" s="5"/>
      <c r="F89" s="5"/>
      <c r="G89" s="5"/>
      <c r="H89" s="5"/>
      <c r="I89" s="5"/>
      <c r="J89" s="5"/>
      <c r="K89" s="5"/>
      <c r="L89" s="5"/>
      <c r="M89" s="9"/>
      <c r="N89" s="9"/>
      <c r="O89" s="366"/>
      <c r="P89" s="9"/>
      <c r="Q89" s="531"/>
      <c r="R89" s="513"/>
      <c r="S89" s="513"/>
      <c r="T89" s="513"/>
      <c r="U89" s="513"/>
      <c r="V89" s="513"/>
      <c r="W89" s="513"/>
      <c r="X89" s="513"/>
      <c r="Y89" s="513"/>
      <c r="Z89" s="513"/>
      <c r="AA89" s="513"/>
    </row>
    <row r="90" spans="1:27" s="614" customFormat="1" ht="4.5" customHeight="1">
      <c r="A90" s="4"/>
      <c r="B90" s="5"/>
      <c r="C90" s="5"/>
      <c r="D90" s="5"/>
      <c r="E90" s="5"/>
      <c r="F90" s="5"/>
      <c r="G90" s="5"/>
      <c r="H90" s="5"/>
      <c r="I90" s="5"/>
      <c r="J90" s="5"/>
      <c r="K90" s="5"/>
      <c r="L90" s="5"/>
      <c r="M90" s="9"/>
      <c r="N90" s="9"/>
      <c r="O90" s="375"/>
      <c r="P90" s="9"/>
      <c r="Q90" s="531"/>
      <c r="R90" s="513"/>
      <c r="S90" s="513"/>
      <c r="T90" s="513"/>
      <c r="U90" s="513"/>
      <c r="V90" s="513"/>
      <c r="W90" s="513"/>
      <c r="X90" s="513"/>
      <c r="Y90" s="513"/>
      <c r="Z90" s="513"/>
      <c r="AA90" s="513"/>
    </row>
    <row r="91" spans="1:27" s="614" customFormat="1" ht="12.75" customHeight="1" thickBot="1">
      <c r="A91" s="4"/>
      <c r="B91" s="5"/>
      <c r="C91" s="22"/>
      <c r="D91" s="792" t="str">
        <f>Translations!$B$440</f>
        <v>Sub-installation</v>
      </c>
      <c r="E91" s="834"/>
      <c r="F91" s="908"/>
      <c r="G91" s="219">
        <v>2013</v>
      </c>
      <c r="H91" s="219">
        <v>2014</v>
      </c>
      <c r="I91" s="219">
        <v>2015</v>
      </c>
      <c r="J91" s="219">
        <v>2016</v>
      </c>
      <c r="K91" s="219">
        <v>2017</v>
      </c>
      <c r="L91" s="219">
        <v>2018</v>
      </c>
      <c r="M91" s="219">
        <v>2019</v>
      </c>
      <c r="N91" s="219">
        <v>2020</v>
      </c>
      <c r="O91" s="375"/>
      <c r="P91" s="372"/>
      <c r="Q91" s="531"/>
      <c r="R91" s="513"/>
      <c r="S91" s="513"/>
      <c r="T91" s="540" t="s">
        <v>1807</v>
      </c>
      <c r="U91" s="513"/>
      <c r="V91" s="540" t="s">
        <v>1968</v>
      </c>
      <c r="W91" s="513"/>
      <c r="X91" s="541" t="s">
        <v>1971</v>
      </c>
      <c r="Y91" s="513"/>
      <c r="Z91" s="538" t="s">
        <v>1034</v>
      </c>
      <c r="AA91" s="513"/>
    </row>
    <row r="92" spans="1:27" s="614" customFormat="1" ht="12.75" customHeight="1" thickBot="1">
      <c r="A92" s="4"/>
      <c r="B92" s="5"/>
      <c r="C92" s="218">
        <v>0</v>
      </c>
      <c r="D92" s="879" t="str">
        <f>Translations!$B$1447</f>
        <v>Phase before start</v>
      </c>
      <c r="E92" s="880"/>
      <c r="F92" s="881"/>
      <c r="G92" s="606"/>
      <c r="H92" s="606"/>
      <c r="I92" s="606"/>
      <c r="J92" s="606"/>
      <c r="K92" s="606"/>
      <c r="L92" s="606"/>
      <c r="M92" s="606"/>
      <c r="N92" s="606"/>
      <c r="O92" s="375"/>
      <c r="P92" s="372"/>
      <c r="Q92" s="542" t="str">
        <f aca="true" t="shared" si="23" ref="Q92:Q109">EUconst_CNTR_Finitial&amp;$V92&amp;"_"&amp;$D92</f>
        <v>FInitial_2_Phase before start</v>
      </c>
      <c r="R92" s="513"/>
      <c r="S92" s="513"/>
      <c r="T92" s="540"/>
      <c r="U92" s="513"/>
      <c r="V92" s="543">
        <f>C85</f>
        <v>2</v>
      </c>
      <c r="W92" s="513"/>
      <c r="X92" s="539" t="b">
        <f aca="true" t="shared" si="24" ref="X92:X109">COUNT(G92:N92)&gt;0</f>
        <v>0</v>
      </c>
      <c r="Y92" s="513"/>
      <c r="Z92" s="539" t="b">
        <f>M86=EUconst_NotRelevant</f>
        <v>0</v>
      </c>
      <c r="AA92" s="513"/>
    </row>
    <row r="93" spans="1:27" s="614" customFormat="1" ht="12.75" customHeight="1">
      <c r="A93" s="4"/>
      <c r="B93" s="5"/>
      <c r="C93" s="32">
        <v>1</v>
      </c>
      <c r="D93" s="909"/>
      <c r="E93" s="910"/>
      <c r="F93" s="911"/>
      <c r="G93" s="403"/>
      <c r="H93" s="403"/>
      <c r="I93" s="403"/>
      <c r="J93" s="403"/>
      <c r="K93" s="403"/>
      <c r="L93" s="403"/>
      <c r="M93" s="403"/>
      <c r="N93" s="403"/>
      <c r="O93" s="375"/>
      <c r="P93" s="372"/>
      <c r="Q93" s="542" t="str">
        <f t="shared" si="23"/>
        <v>FInitial_2_</v>
      </c>
      <c r="R93" s="513"/>
      <c r="S93" s="513"/>
      <c r="T93" s="543">
        <f>IF(D93="","",MAX($T$18:T92)+1)</f>
      </c>
      <c r="U93" s="513"/>
      <c r="V93" s="544">
        <f aca="true" t="shared" si="25" ref="V93:V109">V92</f>
        <v>2</v>
      </c>
      <c r="W93" s="513"/>
      <c r="X93" s="539" t="b">
        <f t="shared" si="24"/>
        <v>0</v>
      </c>
      <c r="Y93" s="513"/>
      <c r="Z93" s="539" t="b">
        <f aca="true" t="shared" si="26" ref="Z93:Z110">Z92</f>
        <v>0</v>
      </c>
      <c r="AA93" s="513"/>
    </row>
    <row r="94" spans="1:27" s="614" customFormat="1" ht="12.75" customHeight="1">
      <c r="A94" s="4"/>
      <c r="B94" s="5"/>
      <c r="C94" s="32">
        <v>2</v>
      </c>
      <c r="D94" s="802"/>
      <c r="E94" s="810"/>
      <c r="F94" s="811"/>
      <c r="G94" s="402"/>
      <c r="H94" s="402"/>
      <c r="I94" s="402"/>
      <c r="J94" s="402"/>
      <c r="K94" s="402"/>
      <c r="L94" s="402"/>
      <c r="M94" s="402"/>
      <c r="N94" s="402"/>
      <c r="O94" s="375"/>
      <c r="P94" s="372"/>
      <c r="Q94" s="542" t="str">
        <f t="shared" si="23"/>
        <v>FInitial_2_</v>
      </c>
      <c r="R94" s="513"/>
      <c r="S94" s="513"/>
      <c r="T94" s="544">
        <f>IF(D94="","",MAX($T$18:T93)+1)</f>
      </c>
      <c r="U94" s="513"/>
      <c r="V94" s="544">
        <f t="shared" si="25"/>
        <v>2</v>
      </c>
      <c r="W94" s="513"/>
      <c r="X94" s="539" t="b">
        <f t="shared" si="24"/>
        <v>0</v>
      </c>
      <c r="Y94" s="513"/>
      <c r="Z94" s="539" t="b">
        <f t="shared" si="26"/>
        <v>0</v>
      </c>
      <c r="AA94" s="513"/>
    </row>
    <row r="95" spans="1:27" s="614" customFormat="1" ht="12.75" customHeight="1">
      <c r="A95" s="4"/>
      <c r="B95" s="5"/>
      <c r="C95" s="32">
        <v>3</v>
      </c>
      <c r="D95" s="802"/>
      <c r="E95" s="810"/>
      <c r="F95" s="811"/>
      <c r="G95" s="402"/>
      <c r="H95" s="402"/>
      <c r="I95" s="402"/>
      <c r="J95" s="402"/>
      <c r="K95" s="402"/>
      <c r="L95" s="402"/>
      <c r="M95" s="402"/>
      <c r="N95" s="402"/>
      <c r="O95" s="375"/>
      <c r="P95" s="372"/>
      <c r="Q95" s="542" t="str">
        <f t="shared" si="23"/>
        <v>FInitial_2_</v>
      </c>
      <c r="R95" s="513"/>
      <c r="S95" s="513"/>
      <c r="T95" s="544">
        <f>IF(D95="","",MAX($T$18:T94)+1)</f>
      </c>
      <c r="U95" s="513"/>
      <c r="V95" s="544">
        <f t="shared" si="25"/>
        <v>2</v>
      </c>
      <c r="W95" s="513"/>
      <c r="X95" s="539" t="b">
        <f t="shared" si="24"/>
        <v>0</v>
      </c>
      <c r="Y95" s="513"/>
      <c r="Z95" s="539" t="b">
        <f t="shared" si="26"/>
        <v>0</v>
      </c>
      <c r="AA95" s="513"/>
    </row>
    <row r="96" spans="1:27" s="614" customFormat="1" ht="12.75" customHeight="1">
      <c r="A96" s="4"/>
      <c r="B96" s="5"/>
      <c r="C96" s="32">
        <v>4</v>
      </c>
      <c r="D96" s="802"/>
      <c r="E96" s="810"/>
      <c r="F96" s="811"/>
      <c r="G96" s="402"/>
      <c r="H96" s="402"/>
      <c r="I96" s="402"/>
      <c r="J96" s="402"/>
      <c r="K96" s="402"/>
      <c r="L96" s="402"/>
      <c r="M96" s="402"/>
      <c r="N96" s="402"/>
      <c r="O96" s="375"/>
      <c r="P96" s="372"/>
      <c r="Q96" s="542" t="str">
        <f t="shared" si="23"/>
        <v>FInitial_2_</v>
      </c>
      <c r="R96" s="513"/>
      <c r="S96" s="513"/>
      <c r="T96" s="544">
        <f>IF(D96="","",MAX($T$18:T95)+1)</f>
      </c>
      <c r="U96" s="513"/>
      <c r="V96" s="544">
        <f t="shared" si="25"/>
        <v>2</v>
      </c>
      <c r="W96" s="513"/>
      <c r="X96" s="539" t="b">
        <f t="shared" si="24"/>
        <v>0</v>
      </c>
      <c r="Y96" s="513"/>
      <c r="Z96" s="539" t="b">
        <f t="shared" si="26"/>
        <v>0</v>
      </c>
      <c r="AA96" s="513"/>
    </row>
    <row r="97" spans="1:27" s="614" customFormat="1" ht="12.75" customHeight="1">
      <c r="A97" s="4"/>
      <c r="B97" s="5"/>
      <c r="C97" s="32">
        <v>5</v>
      </c>
      <c r="D97" s="802"/>
      <c r="E97" s="810"/>
      <c r="F97" s="811"/>
      <c r="G97" s="402"/>
      <c r="H97" s="402"/>
      <c r="I97" s="402"/>
      <c r="J97" s="402"/>
      <c r="K97" s="402"/>
      <c r="L97" s="402"/>
      <c r="M97" s="402"/>
      <c r="N97" s="402"/>
      <c r="O97" s="375"/>
      <c r="P97" s="372"/>
      <c r="Q97" s="542" t="str">
        <f t="shared" si="23"/>
        <v>FInitial_2_</v>
      </c>
      <c r="R97" s="513"/>
      <c r="S97" s="513"/>
      <c r="T97" s="544">
        <f>IF(D97="","",MAX($T$18:T96)+1)</f>
      </c>
      <c r="U97" s="513"/>
      <c r="V97" s="544">
        <f t="shared" si="25"/>
        <v>2</v>
      </c>
      <c r="W97" s="513"/>
      <c r="X97" s="539" t="b">
        <f t="shared" si="24"/>
        <v>0</v>
      </c>
      <c r="Y97" s="513"/>
      <c r="Z97" s="539" t="b">
        <f t="shared" si="26"/>
        <v>0</v>
      </c>
      <c r="AA97" s="513"/>
    </row>
    <row r="98" spans="1:27" s="614" customFormat="1" ht="12.75" customHeight="1">
      <c r="A98" s="4"/>
      <c r="B98" s="5"/>
      <c r="C98" s="32">
        <v>6</v>
      </c>
      <c r="D98" s="802"/>
      <c r="E98" s="810"/>
      <c r="F98" s="811"/>
      <c r="G98" s="402"/>
      <c r="H98" s="402"/>
      <c r="I98" s="402"/>
      <c r="J98" s="402"/>
      <c r="K98" s="402"/>
      <c r="L98" s="402"/>
      <c r="M98" s="402"/>
      <c r="N98" s="402"/>
      <c r="O98" s="375"/>
      <c r="P98" s="9"/>
      <c r="Q98" s="542" t="str">
        <f t="shared" si="23"/>
        <v>FInitial_2_</v>
      </c>
      <c r="R98" s="513"/>
      <c r="S98" s="513"/>
      <c r="T98" s="544">
        <f>IF(D98="","",MAX($T$18:T97)+1)</f>
      </c>
      <c r="U98" s="513"/>
      <c r="V98" s="544">
        <f t="shared" si="25"/>
        <v>2</v>
      </c>
      <c r="W98" s="513"/>
      <c r="X98" s="539" t="b">
        <f t="shared" si="24"/>
        <v>0</v>
      </c>
      <c r="Y98" s="513"/>
      <c r="Z98" s="539" t="b">
        <f t="shared" si="26"/>
        <v>0</v>
      </c>
      <c r="AA98" s="513"/>
    </row>
    <row r="99" spans="1:27" s="614" customFormat="1" ht="12.75" customHeight="1">
      <c r="A99" s="4"/>
      <c r="B99" s="5"/>
      <c r="C99" s="32">
        <v>7</v>
      </c>
      <c r="D99" s="802"/>
      <c r="E99" s="810"/>
      <c r="F99" s="811"/>
      <c r="G99" s="402"/>
      <c r="H99" s="402"/>
      <c r="I99" s="402"/>
      <c r="J99" s="402"/>
      <c r="K99" s="402"/>
      <c r="L99" s="402"/>
      <c r="M99" s="402"/>
      <c r="N99" s="402"/>
      <c r="O99" s="375"/>
      <c r="P99" s="9"/>
      <c r="Q99" s="542" t="str">
        <f t="shared" si="23"/>
        <v>FInitial_2_</v>
      </c>
      <c r="R99" s="513"/>
      <c r="S99" s="513"/>
      <c r="T99" s="544">
        <f>IF(D99="","",MAX($T$18:T98)+1)</f>
      </c>
      <c r="U99" s="513"/>
      <c r="V99" s="544">
        <f t="shared" si="25"/>
        <v>2</v>
      </c>
      <c r="W99" s="513"/>
      <c r="X99" s="539" t="b">
        <f t="shared" si="24"/>
        <v>0</v>
      </c>
      <c r="Y99" s="513"/>
      <c r="Z99" s="539" t="b">
        <f t="shared" si="26"/>
        <v>0</v>
      </c>
      <c r="AA99" s="513"/>
    </row>
    <row r="100" spans="1:27" s="614" customFormat="1" ht="12.75" customHeight="1">
      <c r="A100" s="4"/>
      <c r="B100" s="5"/>
      <c r="C100" s="32">
        <v>8</v>
      </c>
      <c r="D100" s="802"/>
      <c r="E100" s="810"/>
      <c r="F100" s="811"/>
      <c r="G100" s="402"/>
      <c r="H100" s="402"/>
      <c r="I100" s="402"/>
      <c r="J100" s="402"/>
      <c r="K100" s="402"/>
      <c r="L100" s="402"/>
      <c r="M100" s="402"/>
      <c r="N100" s="402"/>
      <c r="O100" s="375"/>
      <c r="P100" s="9"/>
      <c r="Q100" s="542" t="str">
        <f t="shared" si="23"/>
        <v>FInitial_2_</v>
      </c>
      <c r="R100" s="513"/>
      <c r="S100" s="513"/>
      <c r="T100" s="544">
        <f>IF(D100="","",MAX($T$18:T99)+1)</f>
      </c>
      <c r="U100" s="513"/>
      <c r="V100" s="544">
        <f t="shared" si="25"/>
        <v>2</v>
      </c>
      <c r="W100" s="513"/>
      <c r="X100" s="539" t="b">
        <f t="shared" si="24"/>
        <v>0</v>
      </c>
      <c r="Y100" s="513"/>
      <c r="Z100" s="539" t="b">
        <f t="shared" si="26"/>
        <v>0</v>
      </c>
      <c r="AA100" s="513"/>
    </row>
    <row r="101" spans="1:27" s="614" customFormat="1" ht="12.75" customHeight="1">
      <c r="A101" s="4"/>
      <c r="B101" s="5"/>
      <c r="C101" s="32">
        <v>9</v>
      </c>
      <c r="D101" s="802"/>
      <c r="E101" s="810"/>
      <c r="F101" s="811"/>
      <c r="G101" s="402"/>
      <c r="H101" s="402"/>
      <c r="I101" s="402"/>
      <c r="J101" s="402"/>
      <c r="K101" s="402"/>
      <c r="L101" s="402"/>
      <c r="M101" s="402"/>
      <c r="N101" s="402"/>
      <c r="O101" s="375"/>
      <c r="P101" s="9"/>
      <c r="Q101" s="542" t="str">
        <f t="shared" si="23"/>
        <v>FInitial_2_</v>
      </c>
      <c r="R101" s="513"/>
      <c r="S101" s="513"/>
      <c r="T101" s="544">
        <f>IF(D101="","",MAX($T$18:T100)+1)</f>
      </c>
      <c r="U101" s="513"/>
      <c r="V101" s="544">
        <f t="shared" si="25"/>
        <v>2</v>
      </c>
      <c r="W101" s="513"/>
      <c r="X101" s="539" t="b">
        <f t="shared" si="24"/>
        <v>0</v>
      </c>
      <c r="Y101" s="513"/>
      <c r="Z101" s="539" t="b">
        <f t="shared" si="26"/>
        <v>0</v>
      </c>
      <c r="AA101" s="513"/>
    </row>
    <row r="102" spans="1:27" s="614" customFormat="1" ht="12.75" customHeight="1" thickBot="1">
      <c r="A102" s="4"/>
      <c r="B102" s="5"/>
      <c r="C102" s="28">
        <v>10</v>
      </c>
      <c r="D102" s="824"/>
      <c r="E102" s="825"/>
      <c r="F102" s="826"/>
      <c r="G102" s="191"/>
      <c r="H102" s="191"/>
      <c r="I102" s="191"/>
      <c r="J102" s="191"/>
      <c r="K102" s="191"/>
      <c r="L102" s="191"/>
      <c r="M102" s="191"/>
      <c r="N102" s="191"/>
      <c r="O102" s="375"/>
      <c r="P102" s="9"/>
      <c r="Q102" s="542" t="str">
        <f t="shared" si="23"/>
        <v>FInitial_2_</v>
      </c>
      <c r="R102" s="513"/>
      <c r="S102" s="513"/>
      <c r="T102" s="545">
        <f>IF(D102="","",MAX($T$18:T101)+1)</f>
      </c>
      <c r="U102" s="513"/>
      <c r="V102" s="544">
        <f t="shared" si="25"/>
        <v>2</v>
      </c>
      <c r="W102" s="513"/>
      <c r="X102" s="539" t="b">
        <f t="shared" si="24"/>
        <v>0</v>
      </c>
      <c r="Y102" s="513"/>
      <c r="Z102" s="539" t="b">
        <f t="shared" si="26"/>
        <v>0</v>
      </c>
      <c r="AA102" s="513"/>
    </row>
    <row r="103" spans="1:27" s="614" customFormat="1" ht="12.75" customHeight="1">
      <c r="A103" s="4"/>
      <c r="B103" s="5"/>
      <c r="C103" s="32">
        <v>11</v>
      </c>
      <c r="D103" s="882" t="str">
        <f aca="true" t="shared" si="27" ref="D103:D108">INDEX(EUconst_FallBackListNames,C103-10)</f>
        <v>Heat benchmark sub-installation, CL</v>
      </c>
      <c r="E103" s="883"/>
      <c r="F103" s="884"/>
      <c r="G103" s="403"/>
      <c r="H103" s="403"/>
      <c r="I103" s="403"/>
      <c r="J103" s="403"/>
      <c r="K103" s="403"/>
      <c r="L103" s="403"/>
      <c r="M103" s="403"/>
      <c r="N103" s="403"/>
      <c r="O103" s="375"/>
      <c r="P103" s="9"/>
      <c r="Q103" s="542" t="str">
        <f t="shared" si="23"/>
        <v>FInitial_2_Heat benchmark sub-installation, CL</v>
      </c>
      <c r="R103" s="513"/>
      <c r="S103" s="513"/>
      <c r="T103" s="513"/>
      <c r="U103" s="513"/>
      <c r="V103" s="544">
        <f t="shared" si="25"/>
        <v>2</v>
      </c>
      <c r="W103" s="513"/>
      <c r="X103" s="539" t="b">
        <f t="shared" si="24"/>
        <v>0</v>
      </c>
      <c r="Y103" s="513"/>
      <c r="Z103" s="539" t="b">
        <f t="shared" si="26"/>
        <v>0</v>
      </c>
      <c r="AA103" s="513"/>
    </row>
    <row r="104" spans="1:27" s="614" customFormat="1" ht="12.75" customHeight="1">
      <c r="A104" s="4"/>
      <c r="B104" s="5"/>
      <c r="C104" s="32">
        <v>12</v>
      </c>
      <c r="D104" s="876" t="str">
        <f t="shared" si="27"/>
        <v>Heat benchmark sub-installation, non-CL</v>
      </c>
      <c r="E104" s="877"/>
      <c r="F104" s="878"/>
      <c r="G104" s="402"/>
      <c r="H104" s="402"/>
      <c r="I104" s="402"/>
      <c r="J104" s="402"/>
      <c r="K104" s="402"/>
      <c r="L104" s="402"/>
      <c r="M104" s="402"/>
      <c r="N104" s="402"/>
      <c r="O104" s="375"/>
      <c r="P104" s="9"/>
      <c r="Q104" s="542" t="str">
        <f t="shared" si="23"/>
        <v>FInitial_2_Heat benchmark sub-installation, non-CL</v>
      </c>
      <c r="R104" s="513"/>
      <c r="S104" s="513"/>
      <c r="T104" s="513"/>
      <c r="U104" s="513"/>
      <c r="V104" s="544">
        <f t="shared" si="25"/>
        <v>2</v>
      </c>
      <c r="W104" s="513"/>
      <c r="X104" s="539" t="b">
        <f t="shared" si="24"/>
        <v>0</v>
      </c>
      <c r="Y104" s="513"/>
      <c r="Z104" s="539" t="b">
        <f t="shared" si="26"/>
        <v>0</v>
      </c>
      <c r="AA104" s="513"/>
    </row>
    <row r="105" spans="1:27" s="614" customFormat="1" ht="12.75" customHeight="1">
      <c r="A105" s="4"/>
      <c r="B105" s="5"/>
      <c r="C105" s="32">
        <v>13</v>
      </c>
      <c r="D105" s="876" t="str">
        <f t="shared" si="27"/>
        <v>Fuel benchmark sub-installation, CL</v>
      </c>
      <c r="E105" s="877"/>
      <c r="F105" s="878"/>
      <c r="G105" s="402"/>
      <c r="H105" s="402"/>
      <c r="I105" s="402"/>
      <c r="J105" s="402"/>
      <c r="K105" s="402"/>
      <c r="L105" s="402"/>
      <c r="M105" s="402"/>
      <c r="N105" s="402"/>
      <c r="O105" s="375"/>
      <c r="P105" s="9"/>
      <c r="Q105" s="542" t="str">
        <f t="shared" si="23"/>
        <v>FInitial_2_Fuel benchmark sub-installation, CL</v>
      </c>
      <c r="R105" s="513"/>
      <c r="S105" s="513"/>
      <c r="T105" s="513"/>
      <c r="U105" s="513"/>
      <c r="V105" s="544">
        <f t="shared" si="25"/>
        <v>2</v>
      </c>
      <c r="W105" s="513"/>
      <c r="X105" s="539" t="b">
        <f t="shared" si="24"/>
        <v>0</v>
      </c>
      <c r="Y105" s="513"/>
      <c r="Z105" s="539" t="b">
        <f t="shared" si="26"/>
        <v>0</v>
      </c>
      <c r="AA105" s="513"/>
    </row>
    <row r="106" spans="1:27" s="614" customFormat="1" ht="12.75" customHeight="1">
      <c r="A106" s="4"/>
      <c r="B106" s="5"/>
      <c r="C106" s="32">
        <v>14</v>
      </c>
      <c r="D106" s="876" t="str">
        <f t="shared" si="27"/>
        <v>Fuel benchmark sub-installation, non-CL</v>
      </c>
      <c r="E106" s="877"/>
      <c r="F106" s="878"/>
      <c r="G106" s="402"/>
      <c r="H106" s="402"/>
      <c r="I106" s="402"/>
      <c r="J106" s="402"/>
      <c r="K106" s="402"/>
      <c r="L106" s="402"/>
      <c r="M106" s="402"/>
      <c r="N106" s="402"/>
      <c r="O106" s="375"/>
      <c r="P106" s="9"/>
      <c r="Q106" s="542" t="str">
        <f t="shared" si="23"/>
        <v>FInitial_2_Fuel benchmark sub-installation, non-CL</v>
      </c>
      <c r="R106" s="513"/>
      <c r="S106" s="513"/>
      <c r="T106" s="513"/>
      <c r="U106" s="513"/>
      <c r="V106" s="544">
        <f t="shared" si="25"/>
        <v>2</v>
      </c>
      <c r="W106" s="513"/>
      <c r="X106" s="539" t="b">
        <f t="shared" si="24"/>
        <v>0</v>
      </c>
      <c r="Y106" s="513"/>
      <c r="Z106" s="539" t="b">
        <f t="shared" si="26"/>
        <v>0</v>
      </c>
      <c r="AA106" s="513"/>
    </row>
    <row r="107" spans="1:27" s="614" customFormat="1" ht="12.75" customHeight="1">
      <c r="A107" s="4"/>
      <c r="B107" s="5"/>
      <c r="C107" s="32">
        <v>15</v>
      </c>
      <c r="D107" s="876" t="str">
        <f t="shared" si="27"/>
        <v>Process emissions sub-installation, CL</v>
      </c>
      <c r="E107" s="877"/>
      <c r="F107" s="878"/>
      <c r="G107" s="402"/>
      <c r="H107" s="402"/>
      <c r="I107" s="402"/>
      <c r="J107" s="402"/>
      <c r="K107" s="402"/>
      <c r="L107" s="402"/>
      <c r="M107" s="402"/>
      <c r="N107" s="402"/>
      <c r="O107" s="375"/>
      <c r="P107" s="9"/>
      <c r="Q107" s="542" t="str">
        <f t="shared" si="23"/>
        <v>FInitial_2_Process emissions sub-installation, CL</v>
      </c>
      <c r="R107" s="513"/>
      <c r="S107" s="513"/>
      <c r="T107" s="513"/>
      <c r="U107" s="513"/>
      <c r="V107" s="544">
        <f t="shared" si="25"/>
        <v>2</v>
      </c>
      <c r="W107" s="513"/>
      <c r="X107" s="539" t="b">
        <f t="shared" si="24"/>
        <v>0</v>
      </c>
      <c r="Y107" s="513"/>
      <c r="Z107" s="539" t="b">
        <f t="shared" si="26"/>
        <v>0</v>
      </c>
      <c r="AA107" s="513"/>
    </row>
    <row r="108" spans="1:27" s="614" customFormat="1" ht="12.75" customHeight="1">
      <c r="A108" s="4"/>
      <c r="B108" s="5"/>
      <c r="C108" s="32">
        <v>16</v>
      </c>
      <c r="D108" s="885" t="str">
        <f t="shared" si="27"/>
        <v>Process emissions sub-installation, non-CL</v>
      </c>
      <c r="E108" s="886"/>
      <c r="F108" s="887"/>
      <c r="G108" s="430"/>
      <c r="H108" s="430"/>
      <c r="I108" s="430"/>
      <c r="J108" s="430"/>
      <c r="K108" s="430"/>
      <c r="L108" s="430"/>
      <c r="M108" s="430"/>
      <c r="N108" s="430"/>
      <c r="O108" s="375"/>
      <c r="P108" s="9"/>
      <c r="Q108" s="542" t="str">
        <f t="shared" si="23"/>
        <v>FInitial_2_Process emissions sub-installation, non-CL</v>
      </c>
      <c r="R108" s="513"/>
      <c r="S108" s="513"/>
      <c r="T108" s="513"/>
      <c r="U108" s="513"/>
      <c r="V108" s="544">
        <f t="shared" si="25"/>
        <v>2</v>
      </c>
      <c r="W108" s="513"/>
      <c r="X108" s="539" t="b">
        <f t="shared" si="24"/>
        <v>0</v>
      </c>
      <c r="Y108" s="513"/>
      <c r="Z108" s="539" t="b">
        <f t="shared" si="26"/>
        <v>0</v>
      </c>
      <c r="AA108" s="513"/>
    </row>
    <row r="109" spans="1:27" s="614" customFormat="1" ht="12.75" customHeight="1" thickBot="1">
      <c r="A109" s="4"/>
      <c r="B109" s="5"/>
      <c r="C109" s="503">
        <v>17</v>
      </c>
      <c r="D109" s="879" t="str">
        <f>EUconst_PrivateHouseholds</f>
        <v>Private households</v>
      </c>
      <c r="E109" s="880"/>
      <c r="F109" s="881"/>
      <c r="G109" s="505"/>
      <c r="H109" s="505"/>
      <c r="I109" s="505"/>
      <c r="J109" s="505"/>
      <c r="K109" s="505"/>
      <c r="L109" s="505"/>
      <c r="M109" s="505"/>
      <c r="N109" s="505"/>
      <c r="O109" s="375"/>
      <c r="P109" s="9"/>
      <c r="Q109" s="542" t="str">
        <f t="shared" si="23"/>
        <v>FInitial_2_Private households</v>
      </c>
      <c r="R109" s="513"/>
      <c r="S109" s="513"/>
      <c r="T109" s="513"/>
      <c r="U109" s="513"/>
      <c r="V109" s="545">
        <f t="shared" si="25"/>
        <v>2</v>
      </c>
      <c r="W109" s="513"/>
      <c r="X109" s="539" t="b">
        <f t="shared" si="24"/>
        <v>0</v>
      </c>
      <c r="Y109" s="513"/>
      <c r="Z109" s="539" t="b">
        <f t="shared" si="26"/>
        <v>0</v>
      </c>
      <c r="AA109" s="513"/>
    </row>
    <row r="110" spans="1:27" s="614" customFormat="1" ht="12.75" customHeight="1">
      <c r="A110" s="4"/>
      <c r="B110" s="5"/>
      <c r="C110" s="20"/>
      <c r="D110" s="888" t="str">
        <f>EUconst_TotFreeAlloc</f>
        <v>Total final free allocation</v>
      </c>
      <c r="E110" s="889"/>
      <c r="F110" s="890"/>
      <c r="G110" s="220">
        <f aca="true" t="shared" si="28" ref="G110:N110">IF(COUNT(G92:G109)&gt;0,SUM(G92:G109),"")</f>
      </c>
      <c r="H110" s="220">
        <f t="shared" si="28"/>
      </c>
      <c r="I110" s="220">
        <f t="shared" si="28"/>
      </c>
      <c r="J110" s="220">
        <f t="shared" si="28"/>
      </c>
      <c r="K110" s="220">
        <f t="shared" si="28"/>
      </c>
      <c r="L110" s="220">
        <f t="shared" si="28"/>
      </c>
      <c r="M110" s="220">
        <f t="shared" si="28"/>
      </c>
      <c r="N110" s="220">
        <f t="shared" si="28"/>
      </c>
      <c r="O110" s="375"/>
      <c r="P110" s="9"/>
      <c r="Q110" s="531"/>
      <c r="R110" s="513"/>
      <c r="S110" s="513"/>
      <c r="T110" s="513"/>
      <c r="U110" s="513"/>
      <c r="V110" s="513"/>
      <c r="W110" s="513"/>
      <c r="X110" s="513"/>
      <c r="Y110" s="513"/>
      <c r="Z110" s="539" t="b">
        <f t="shared" si="26"/>
        <v>0</v>
      </c>
      <c r="AA110" s="513"/>
    </row>
    <row r="111" spans="1:27" s="614" customFormat="1" ht="12.75" customHeight="1">
      <c r="A111" s="4"/>
      <c r="B111" s="5"/>
      <c r="C111" s="7"/>
      <c r="D111" s="5"/>
      <c r="E111" s="5"/>
      <c r="F111" s="5"/>
      <c r="G111" s="5"/>
      <c r="H111" s="5"/>
      <c r="I111" s="5"/>
      <c r="J111" s="5"/>
      <c r="K111" s="5"/>
      <c r="L111" s="5"/>
      <c r="M111" s="9"/>
      <c r="N111" s="9"/>
      <c r="O111" s="366"/>
      <c r="P111" s="9"/>
      <c r="Q111" s="531"/>
      <c r="R111" s="513"/>
      <c r="S111" s="513"/>
      <c r="T111" s="513"/>
      <c r="U111" s="513"/>
      <c r="V111" s="513"/>
      <c r="W111" s="513"/>
      <c r="X111" s="513"/>
      <c r="Y111" s="513"/>
      <c r="Z111" s="513"/>
      <c r="AA111" s="513"/>
    </row>
    <row r="112" spans="1:27" s="614" customFormat="1" ht="12.75" customHeight="1">
      <c r="A112" s="4"/>
      <c r="B112" s="5"/>
      <c r="C112" s="5"/>
      <c r="D112" s="197" t="s">
        <v>761</v>
      </c>
      <c r="E112" s="696" t="str">
        <f>Translations!$B$1572</f>
        <v>Latest final allocation with adjustment factors for any partial cessations</v>
      </c>
      <c r="F112" s="695"/>
      <c r="G112" s="695"/>
      <c r="H112" s="695"/>
      <c r="I112" s="695"/>
      <c r="J112" s="695"/>
      <c r="K112" s="695"/>
      <c r="L112" s="695"/>
      <c r="M112" s="695"/>
      <c r="N112" s="695"/>
      <c r="O112" s="368"/>
      <c r="P112" s="435"/>
      <c r="Q112" s="531"/>
      <c r="R112" s="513"/>
      <c r="S112" s="513"/>
      <c r="T112" s="513"/>
      <c r="U112" s="513"/>
      <c r="V112" s="513"/>
      <c r="W112" s="513"/>
      <c r="X112" s="513"/>
      <c r="Y112" s="513"/>
      <c r="Z112" s="513"/>
      <c r="AA112" s="513"/>
    </row>
    <row r="113" spans="1:27" s="614" customFormat="1" ht="4.5" customHeight="1">
      <c r="A113" s="4"/>
      <c r="B113" s="5"/>
      <c r="C113" s="5"/>
      <c r="D113" s="5"/>
      <c r="E113" s="5"/>
      <c r="F113" s="5"/>
      <c r="G113" s="5"/>
      <c r="H113" s="5"/>
      <c r="I113" s="5"/>
      <c r="J113" s="5"/>
      <c r="K113" s="5"/>
      <c r="L113" s="5"/>
      <c r="M113" s="9"/>
      <c r="N113" s="9"/>
      <c r="O113" s="375"/>
      <c r="P113" s="9"/>
      <c r="Q113" s="531"/>
      <c r="R113" s="531"/>
      <c r="S113" s="531"/>
      <c r="T113" s="531"/>
      <c r="U113" s="531"/>
      <c r="V113" s="531"/>
      <c r="W113" s="531"/>
      <c r="X113" s="531"/>
      <c r="Y113" s="513"/>
      <c r="Z113" s="513"/>
      <c r="AA113" s="513"/>
    </row>
    <row r="114" spans="1:27" s="614" customFormat="1" ht="12.75" customHeight="1">
      <c r="A114" s="4"/>
      <c r="B114" s="5"/>
      <c r="C114" s="22"/>
      <c r="D114" s="792" t="str">
        <f>Translations!$B$440</f>
        <v>Sub-installation</v>
      </c>
      <c r="E114" s="834"/>
      <c r="F114" s="908"/>
      <c r="G114" s="219">
        <v>2013</v>
      </c>
      <c r="H114" s="219">
        <v>2014</v>
      </c>
      <c r="I114" s="219">
        <v>2015</v>
      </c>
      <c r="J114" s="219">
        <v>2016</v>
      </c>
      <c r="K114" s="219">
        <v>2017</v>
      </c>
      <c r="L114" s="219">
        <v>2018</v>
      </c>
      <c r="M114" s="219">
        <v>2019</v>
      </c>
      <c r="N114" s="219">
        <v>2020</v>
      </c>
      <c r="O114" s="375"/>
      <c r="P114" s="372"/>
      <c r="Q114" s="531"/>
      <c r="R114" s="531"/>
      <c r="S114" s="531"/>
      <c r="T114" s="531"/>
      <c r="U114" s="531"/>
      <c r="V114" s="531"/>
      <c r="W114" s="531"/>
      <c r="X114" s="531"/>
      <c r="Y114" s="513"/>
      <c r="Z114" s="538" t="s">
        <v>1034</v>
      </c>
      <c r="AA114" s="513"/>
    </row>
    <row r="115" spans="1:27" s="614" customFormat="1" ht="12.75" customHeight="1" thickBot="1">
      <c r="A115" s="4"/>
      <c r="B115" s="5"/>
      <c r="C115" s="218">
        <v>0</v>
      </c>
      <c r="D115" s="879" t="str">
        <f>Translations!$B$1447</f>
        <v>Phase before start</v>
      </c>
      <c r="E115" s="880"/>
      <c r="F115" s="881"/>
      <c r="G115" s="606"/>
      <c r="H115" s="606"/>
      <c r="I115" s="606"/>
      <c r="J115" s="606"/>
      <c r="K115" s="606"/>
      <c r="L115" s="606"/>
      <c r="M115" s="606"/>
      <c r="N115" s="606"/>
      <c r="O115" s="375"/>
      <c r="P115" s="372"/>
      <c r="Q115" s="531"/>
      <c r="R115" s="531"/>
      <c r="S115" s="531"/>
      <c r="T115" s="531"/>
      <c r="U115" s="531"/>
      <c r="V115" s="531"/>
      <c r="W115" s="531"/>
      <c r="X115" s="531"/>
      <c r="Y115" s="513"/>
      <c r="Z115" s="539" t="b">
        <f>Z110</f>
        <v>0</v>
      </c>
      <c r="AA115" s="513"/>
    </row>
    <row r="116" spans="1:27" s="614" customFormat="1" ht="12.75" customHeight="1">
      <c r="A116" s="4"/>
      <c r="B116" s="5"/>
      <c r="C116" s="32">
        <v>1</v>
      </c>
      <c r="D116" s="899">
        <f aca="true" t="shared" si="29" ref="D116:D125">IF(D93="","",D93)</f>
      </c>
      <c r="E116" s="900"/>
      <c r="F116" s="901"/>
      <c r="G116" s="403"/>
      <c r="H116" s="403"/>
      <c r="I116" s="403"/>
      <c r="J116" s="403"/>
      <c r="K116" s="403"/>
      <c r="L116" s="403"/>
      <c r="M116" s="403"/>
      <c r="N116" s="403"/>
      <c r="O116" s="375"/>
      <c r="P116" s="372"/>
      <c r="Q116" s="531"/>
      <c r="R116" s="531"/>
      <c r="S116" s="531"/>
      <c r="T116" s="531"/>
      <c r="U116" s="531"/>
      <c r="V116" s="531"/>
      <c r="W116" s="531"/>
      <c r="X116" s="531"/>
      <c r="Y116" s="513"/>
      <c r="Z116" s="539" t="b">
        <f aca="true" t="shared" si="30" ref="Z116:Z133">Z115</f>
        <v>0</v>
      </c>
      <c r="AA116" s="513"/>
    </row>
    <row r="117" spans="1:27" s="614" customFormat="1" ht="12.75" customHeight="1">
      <c r="A117" s="4"/>
      <c r="B117" s="5"/>
      <c r="C117" s="32">
        <v>2</v>
      </c>
      <c r="D117" s="873">
        <f t="shared" si="29"/>
      </c>
      <c r="E117" s="874"/>
      <c r="F117" s="875"/>
      <c r="G117" s="402"/>
      <c r="H117" s="402"/>
      <c r="I117" s="402"/>
      <c r="J117" s="402"/>
      <c r="K117" s="402"/>
      <c r="L117" s="402"/>
      <c r="M117" s="402"/>
      <c r="N117" s="402"/>
      <c r="O117" s="375"/>
      <c r="P117" s="372"/>
      <c r="Q117" s="531"/>
      <c r="R117" s="531"/>
      <c r="S117" s="531"/>
      <c r="T117" s="531"/>
      <c r="U117" s="531"/>
      <c r="V117" s="531"/>
      <c r="W117" s="531"/>
      <c r="X117" s="531"/>
      <c r="Y117" s="513"/>
      <c r="Z117" s="539" t="b">
        <f t="shared" si="30"/>
        <v>0</v>
      </c>
      <c r="AA117" s="513"/>
    </row>
    <row r="118" spans="1:27" s="614" customFormat="1" ht="12.75" customHeight="1">
      <c r="A118" s="4"/>
      <c r="B118" s="5"/>
      <c r="C118" s="32">
        <v>3</v>
      </c>
      <c r="D118" s="873">
        <f t="shared" si="29"/>
      </c>
      <c r="E118" s="874"/>
      <c r="F118" s="875"/>
      <c r="G118" s="402"/>
      <c r="H118" s="402"/>
      <c r="I118" s="402"/>
      <c r="J118" s="402"/>
      <c r="K118" s="402"/>
      <c r="L118" s="402"/>
      <c r="M118" s="402"/>
      <c r="N118" s="402"/>
      <c r="O118" s="375"/>
      <c r="P118" s="372"/>
      <c r="Q118" s="531"/>
      <c r="R118" s="531"/>
      <c r="S118" s="531"/>
      <c r="T118" s="531"/>
      <c r="U118" s="531"/>
      <c r="V118" s="531"/>
      <c r="W118" s="531"/>
      <c r="X118" s="531"/>
      <c r="Y118" s="513"/>
      <c r="Z118" s="539" t="b">
        <f t="shared" si="30"/>
        <v>0</v>
      </c>
      <c r="AA118" s="513"/>
    </row>
    <row r="119" spans="1:27" s="614" customFormat="1" ht="12.75" customHeight="1">
      <c r="A119" s="4"/>
      <c r="B119" s="5"/>
      <c r="C119" s="32">
        <v>4</v>
      </c>
      <c r="D119" s="873">
        <f t="shared" si="29"/>
      </c>
      <c r="E119" s="874"/>
      <c r="F119" s="875"/>
      <c r="G119" s="402"/>
      <c r="H119" s="402"/>
      <c r="I119" s="402"/>
      <c r="J119" s="402"/>
      <c r="K119" s="402"/>
      <c r="L119" s="402"/>
      <c r="M119" s="402"/>
      <c r="N119" s="402"/>
      <c r="O119" s="375"/>
      <c r="P119" s="372"/>
      <c r="Q119" s="531"/>
      <c r="R119" s="531"/>
      <c r="S119" s="531"/>
      <c r="T119" s="531"/>
      <c r="U119" s="531"/>
      <c r="V119" s="531"/>
      <c r="W119" s="531"/>
      <c r="X119" s="531"/>
      <c r="Y119" s="513"/>
      <c r="Z119" s="539" t="b">
        <f t="shared" si="30"/>
        <v>0</v>
      </c>
      <c r="AA119" s="513"/>
    </row>
    <row r="120" spans="1:27" s="614" customFormat="1" ht="12.75" customHeight="1">
      <c r="A120" s="4"/>
      <c r="B120" s="5"/>
      <c r="C120" s="32">
        <v>5</v>
      </c>
      <c r="D120" s="873">
        <f t="shared" si="29"/>
      </c>
      <c r="E120" s="874"/>
      <c r="F120" s="875"/>
      <c r="G120" s="402"/>
      <c r="H120" s="402"/>
      <c r="I120" s="402"/>
      <c r="J120" s="402"/>
      <c r="K120" s="402"/>
      <c r="L120" s="402"/>
      <c r="M120" s="402"/>
      <c r="N120" s="402"/>
      <c r="O120" s="375"/>
      <c r="P120" s="372"/>
      <c r="Q120" s="531"/>
      <c r="R120" s="531"/>
      <c r="S120" s="531"/>
      <c r="T120" s="531"/>
      <c r="U120" s="531"/>
      <c r="V120" s="531"/>
      <c r="W120" s="531"/>
      <c r="X120" s="531"/>
      <c r="Y120" s="513"/>
      <c r="Z120" s="539" t="b">
        <f t="shared" si="30"/>
        <v>0</v>
      </c>
      <c r="AA120" s="513"/>
    </row>
    <row r="121" spans="1:27" s="614" customFormat="1" ht="12.75" customHeight="1">
      <c r="A121" s="4"/>
      <c r="B121" s="5"/>
      <c r="C121" s="32">
        <v>6</v>
      </c>
      <c r="D121" s="873">
        <f t="shared" si="29"/>
      </c>
      <c r="E121" s="874"/>
      <c r="F121" s="875"/>
      <c r="G121" s="402"/>
      <c r="H121" s="402"/>
      <c r="I121" s="402"/>
      <c r="J121" s="402"/>
      <c r="K121" s="402"/>
      <c r="L121" s="402"/>
      <c r="M121" s="402"/>
      <c r="N121" s="402"/>
      <c r="O121" s="375"/>
      <c r="P121" s="9"/>
      <c r="Q121" s="531"/>
      <c r="R121" s="531"/>
      <c r="S121" s="531"/>
      <c r="T121" s="531"/>
      <c r="U121" s="531"/>
      <c r="V121" s="531"/>
      <c r="W121" s="531"/>
      <c r="X121" s="531"/>
      <c r="Y121" s="513"/>
      <c r="Z121" s="539" t="b">
        <f t="shared" si="30"/>
        <v>0</v>
      </c>
      <c r="AA121" s="513"/>
    </row>
    <row r="122" spans="1:27" s="614" customFormat="1" ht="12.75" customHeight="1">
      <c r="A122" s="4"/>
      <c r="B122" s="5"/>
      <c r="C122" s="32">
        <v>7</v>
      </c>
      <c r="D122" s="873">
        <f t="shared" si="29"/>
      </c>
      <c r="E122" s="874"/>
      <c r="F122" s="875"/>
      <c r="G122" s="402"/>
      <c r="H122" s="402"/>
      <c r="I122" s="402"/>
      <c r="J122" s="402"/>
      <c r="K122" s="402"/>
      <c r="L122" s="402"/>
      <c r="M122" s="402"/>
      <c r="N122" s="402"/>
      <c r="O122" s="375"/>
      <c r="P122" s="9"/>
      <c r="Q122" s="531"/>
      <c r="R122" s="531"/>
      <c r="S122" s="531"/>
      <c r="T122" s="531"/>
      <c r="U122" s="531"/>
      <c r="V122" s="531"/>
      <c r="W122" s="531"/>
      <c r="X122" s="531"/>
      <c r="Y122" s="513"/>
      <c r="Z122" s="539" t="b">
        <f t="shared" si="30"/>
        <v>0</v>
      </c>
      <c r="AA122" s="513"/>
    </row>
    <row r="123" spans="1:27" s="614" customFormat="1" ht="12.75" customHeight="1">
      <c r="A123" s="4"/>
      <c r="B123" s="5"/>
      <c r="C123" s="32">
        <v>8</v>
      </c>
      <c r="D123" s="873">
        <f t="shared" si="29"/>
      </c>
      <c r="E123" s="874"/>
      <c r="F123" s="875"/>
      <c r="G123" s="402"/>
      <c r="H123" s="402"/>
      <c r="I123" s="402"/>
      <c r="J123" s="402"/>
      <c r="K123" s="402"/>
      <c r="L123" s="402"/>
      <c r="M123" s="402"/>
      <c r="N123" s="402"/>
      <c r="O123" s="375"/>
      <c r="P123" s="9"/>
      <c r="Q123" s="531"/>
      <c r="R123" s="531"/>
      <c r="S123" s="531"/>
      <c r="T123" s="531"/>
      <c r="U123" s="531"/>
      <c r="V123" s="531"/>
      <c r="W123" s="531"/>
      <c r="X123" s="531"/>
      <c r="Y123" s="513"/>
      <c r="Z123" s="539" t="b">
        <f t="shared" si="30"/>
        <v>0</v>
      </c>
      <c r="AA123" s="513"/>
    </row>
    <row r="124" spans="1:27" s="614" customFormat="1" ht="12.75" customHeight="1">
      <c r="A124" s="4"/>
      <c r="B124" s="5"/>
      <c r="C124" s="32">
        <v>9</v>
      </c>
      <c r="D124" s="873">
        <f t="shared" si="29"/>
      </c>
      <c r="E124" s="874"/>
      <c r="F124" s="875"/>
      <c r="G124" s="402"/>
      <c r="H124" s="402"/>
      <c r="I124" s="402"/>
      <c r="J124" s="402"/>
      <c r="K124" s="402"/>
      <c r="L124" s="402"/>
      <c r="M124" s="402"/>
      <c r="N124" s="402"/>
      <c r="O124" s="375"/>
      <c r="P124" s="9"/>
      <c r="Q124" s="531"/>
      <c r="R124" s="531"/>
      <c r="S124" s="531"/>
      <c r="T124" s="531"/>
      <c r="U124" s="531"/>
      <c r="V124" s="531"/>
      <c r="W124" s="531"/>
      <c r="X124" s="531"/>
      <c r="Y124" s="513"/>
      <c r="Z124" s="539" t="b">
        <f t="shared" si="30"/>
        <v>0</v>
      </c>
      <c r="AA124" s="513"/>
    </row>
    <row r="125" spans="1:27" s="614" customFormat="1" ht="12.75" customHeight="1">
      <c r="A125" s="4"/>
      <c r="B125" s="5"/>
      <c r="C125" s="28">
        <v>10</v>
      </c>
      <c r="D125" s="896">
        <f t="shared" si="29"/>
      </c>
      <c r="E125" s="897"/>
      <c r="F125" s="898"/>
      <c r="G125" s="191"/>
      <c r="H125" s="191"/>
      <c r="I125" s="191"/>
      <c r="J125" s="191"/>
      <c r="K125" s="191"/>
      <c r="L125" s="191"/>
      <c r="M125" s="191"/>
      <c r="N125" s="191"/>
      <c r="O125" s="375"/>
      <c r="P125" s="9"/>
      <c r="Q125" s="531"/>
      <c r="R125" s="531"/>
      <c r="S125" s="531"/>
      <c r="T125" s="531"/>
      <c r="U125" s="531"/>
      <c r="V125" s="531"/>
      <c r="W125" s="531"/>
      <c r="X125" s="531"/>
      <c r="Y125" s="513"/>
      <c r="Z125" s="539" t="b">
        <f t="shared" si="30"/>
        <v>0</v>
      </c>
      <c r="AA125" s="513"/>
    </row>
    <row r="126" spans="1:27" s="614" customFormat="1" ht="12.75" customHeight="1">
      <c r="A126" s="4"/>
      <c r="B126" s="5"/>
      <c r="C126" s="32">
        <v>11</v>
      </c>
      <c r="D126" s="882" t="str">
        <f aca="true" t="shared" si="31" ref="D126:D131">INDEX(EUconst_FallBackListNames,C126-10)</f>
        <v>Heat benchmark sub-installation, CL</v>
      </c>
      <c r="E126" s="883"/>
      <c r="F126" s="884"/>
      <c r="G126" s="403"/>
      <c r="H126" s="403"/>
      <c r="I126" s="403"/>
      <c r="J126" s="403"/>
      <c r="K126" s="403"/>
      <c r="L126" s="403"/>
      <c r="M126" s="403"/>
      <c r="N126" s="403"/>
      <c r="O126" s="375"/>
      <c r="P126" s="9"/>
      <c r="Q126" s="531"/>
      <c r="R126" s="531"/>
      <c r="S126" s="531"/>
      <c r="T126" s="531"/>
      <c r="U126" s="531"/>
      <c r="V126" s="531"/>
      <c r="W126" s="531"/>
      <c r="X126" s="531"/>
      <c r="Y126" s="513"/>
      <c r="Z126" s="539" t="b">
        <f t="shared" si="30"/>
        <v>0</v>
      </c>
      <c r="AA126" s="513"/>
    </row>
    <row r="127" spans="1:27" s="614" customFormat="1" ht="12.75" customHeight="1">
      <c r="A127" s="4"/>
      <c r="B127" s="5"/>
      <c r="C127" s="32">
        <v>12</v>
      </c>
      <c r="D127" s="876" t="str">
        <f t="shared" si="31"/>
        <v>Heat benchmark sub-installation, non-CL</v>
      </c>
      <c r="E127" s="877"/>
      <c r="F127" s="878"/>
      <c r="G127" s="402"/>
      <c r="H127" s="402"/>
      <c r="I127" s="402"/>
      <c r="J127" s="402"/>
      <c r="K127" s="402"/>
      <c r="L127" s="402"/>
      <c r="M127" s="402"/>
      <c r="N127" s="402"/>
      <c r="O127" s="375"/>
      <c r="P127" s="9"/>
      <c r="Q127" s="531"/>
      <c r="R127" s="531"/>
      <c r="S127" s="531"/>
      <c r="T127" s="531"/>
      <c r="U127" s="531"/>
      <c r="V127" s="531"/>
      <c r="W127" s="531"/>
      <c r="X127" s="531"/>
      <c r="Y127" s="513"/>
      <c r="Z127" s="539" t="b">
        <f t="shared" si="30"/>
        <v>0</v>
      </c>
      <c r="AA127" s="513"/>
    </row>
    <row r="128" spans="1:27" s="614" customFormat="1" ht="12.75" customHeight="1">
      <c r="A128" s="4"/>
      <c r="B128" s="5"/>
      <c r="C128" s="32">
        <v>13</v>
      </c>
      <c r="D128" s="876" t="str">
        <f t="shared" si="31"/>
        <v>Fuel benchmark sub-installation, CL</v>
      </c>
      <c r="E128" s="877"/>
      <c r="F128" s="878"/>
      <c r="G128" s="402"/>
      <c r="H128" s="402"/>
      <c r="I128" s="402"/>
      <c r="J128" s="402"/>
      <c r="K128" s="402"/>
      <c r="L128" s="402"/>
      <c r="M128" s="402"/>
      <c r="N128" s="402"/>
      <c r="O128" s="375"/>
      <c r="P128" s="9"/>
      <c r="Q128" s="531"/>
      <c r="R128" s="531"/>
      <c r="S128" s="531"/>
      <c r="T128" s="531"/>
      <c r="U128" s="531"/>
      <c r="V128" s="531"/>
      <c r="W128" s="531"/>
      <c r="X128" s="531"/>
      <c r="Y128" s="513"/>
      <c r="Z128" s="539" t="b">
        <f t="shared" si="30"/>
        <v>0</v>
      </c>
      <c r="AA128" s="513"/>
    </row>
    <row r="129" spans="1:27" s="614" customFormat="1" ht="12.75" customHeight="1">
      <c r="A129" s="4"/>
      <c r="B129" s="5"/>
      <c r="C129" s="32">
        <v>14</v>
      </c>
      <c r="D129" s="876" t="str">
        <f t="shared" si="31"/>
        <v>Fuel benchmark sub-installation, non-CL</v>
      </c>
      <c r="E129" s="877"/>
      <c r="F129" s="878"/>
      <c r="G129" s="402"/>
      <c r="H129" s="402"/>
      <c r="I129" s="402"/>
      <c r="J129" s="402"/>
      <c r="K129" s="402"/>
      <c r="L129" s="402"/>
      <c r="M129" s="402"/>
      <c r="N129" s="402"/>
      <c r="O129" s="375"/>
      <c r="P129" s="9"/>
      <c r="Q129" s="531"/>
      <c r="R129" s="531"/>
      <c r="S129" s="531"/>
      <c r="T129" s="531"/>
      <c r="U129" s="531"/>
      <c r="V129" s="531"/>
      <c r="W129" s="531"/>
      <c r="X129" s="531"/>
      <c r="Y129" s="513"/>
      <c r="Z129" s="539" t="b">
        <f t="shared" si="30"/>
        <v>0</v>
      </c>
      <c r="AA129" s="513"/>
    </row>
    <row r="130" spans="1:27" s="614" customFormat="1" ht="12.75" customHeight="1">
      <c r="A130" s="4"/>
      <c r="B130" s="5"/>
      <c r="C130" s="32">
        <v>15</v>
      </c>
      <c r="D130" s="876" t="str">
        <f t="shared" si="31"/>
        <v>Process emissions sub-installation, CL</v>
      </c>
      <c r="E130" s="877"/>
      <c r="F130" s="878"/>
      <c r="G130" s="402"/>
      <c r="H130" s="402"/>
      <c r="I130" s="402"/>
      <c r="J130" s="402"/>
      <c r="K130" s="402"/>
      <c r="L130" s="402"/>
      <c r="M130" s="402"/>
      <c r="N130" s="402"/>
      <c r="O130" s="375"/>
      <c r="P130" s="9"/>
      <c r="Q130" s="531"/>
      <c r="R130" s="531"/>
      <c r="S130" s="531"/>
      <c r="T130" s="531"/>
      <c r="U130" s="531"/>
      <c r="V130" s="531"/>
      <c r="W130" s="531"/>
      <c r="X130" s="531"/>
      <c r="Y130" s="513"/>
      <c r="Z130" s="539" t="b">
        <f t="shared" si="30"/>
        <v>0</v>
      </c>
      <c r="AA130" s="513"/>
    </row>
    <row r="131" spans="1:27" s="614" customFormat="1" ht="12.75" customHeight="1">
      <c r="A131" s="4"/>
      <c r="B131" s="5"/>
      <c r="C131" s="32">
        <v>16</v>
      </c>
      <c r="D131" s="885" t="str">
        <f t="shared" si="31"/>
        <v>Process emissions sub-installation, non-CL</v>
      </c>
      <c r="E131" s="886"/>
      <c r="F131" s="887"/>
      <c r="G131" s="430"/>
      <c r="H131" s="430"/>
      <c r="I131" s="430"/>
      <c r="J131" s="430"/>
      <c r="K131" s="430"/>
      <c r="L131" s="430"/>
      <c r="M131" s="430"/>
      <c r="N131" s="430"/>
      <c r="O131" s="375"/>
      <c r="P131" s="9"/>
      <c r="Q131" s="531"/>
      <c r="R131" s="531"/>
      <c r="S131" s="531"/>
      <c r="T131" s="531"/>
      <c r="U131" s="531"/>
      <c r="V131" s="531"/>
      <c r="W131" s="531"/>
      <c r="X131" s="531"/>
      <c r="Y131" s="513"/>
      <c r="Z131" s="539" t="b">
        <f t="shared" si="30"/>
        <v>0</v>
      </c>
      <c r="AA131" s="513"/>
    </row>
    <row r="132" spans="1:27" s="614" customFormat="1" ht="12.75" customHeight="1" thickBot="1">
      <c r="A132" s="4"/>
      <c r="B132" s="5"/>
      <c r="C132" s="503">
        <v>17</v>
      </c>
      <c r="D132" s="879" t="str">
        <f>EUconst_PrivateHouseholds</f>
        <v>Private households</v>
      </c>
      <c r="E132" s="880"/>
      <c r="F132" s="881"/>
      <c r="G132" s="505"/>
      <c r="H132" s="505"/>
      <c r="I132" s="505"/>
      <c r="J132" s="505"/>
      <c r="K132" s="505"/>
      <c r="L132" s="505"/>
      <c r="M132" s="505"/>
      <c r="N132" s="505"/>
      <c r="O132" s="375"/>
      <c r="P132" s="9"/>
      <c r="Q132" s="531"/>
      <c r="R132" s="531"/>
      <c r="S132" s="531"/>
      <c r="T132" s="531"/>
      <c r="U132" s="531"/>
      <c r="V132" s="531"/>
      <c r="W132" s="531"/>
      <c r="X132" s="531"/>
      <c r="Y132" s="513"/>
      <c r="Z132" s="539" t="b">
        <f t="shared" si="30"/>
        <v>0</v>
      </c>
      <c r="AA132" s="513"/>
    </row>
    <row r="133" spans="1:27" s="614" customFormat="1" ht="12.75" customHeight="1">
      <c r="A133" s="4"/>
      <c r="B133" s="5"/>
      <c r="C133" s="20"/>
      <c r="D133" s="888" t="str">
        <f>EUconst_TotFreeAlloc</f>
        <v>Total final free allocation</v>
      </c>
      <c r="E133" s="889"/>
      <c r="F133" s="890"/>
      <c r="G133" s="220">
        <f aca="true" t="shared" si="32" ref="G133:N133">IF(COUNT(G115:G132)&gt;0,SUM(G115:G132),"")</f>
      </c>
      <c r="H133" s="220">
        <f t="shared" si="32"/>
      </c>
      <c r="I133" s="220">
        <f t="shared" si="32"/>
      </c>
      <c r="J133" s="220">
        <f t="shared" si="32"/>
      </c>
      <c r="K133" s="220">
        <f t="shared" si="32"/>
      </c>
      <c r="L133" s="220">
        <f t="shared" si="32"/>
      </c>
      <c r="M133" s="220">
        <f t="shared" si="32"/>
      </c>
      <c r="N133" s="220">
        <f t="shared" si="32"/>
      </c>
      <c r="O133" s="375"/>
      <c r="P133" s="9"/>
      <c r="Q133" s="531"/>
      <c r="R133" s="531"/>
      <c r="S133" s="531"/>
      <c r="T133" s="531"/>
      <c r="U133" s="531"/>
      <c r="V133" s="531"/>
      <c r="W133" s="531"/>
      <c r="X133" s="531"/>
      <c r="Y133" s="513"/>
      <c r="Z133" s="539" t="b">
        <f t="shared" si="30"/>
        <v>0</v>
      </c>
      <c r="AA133" s="513"/>
    </row>
    <row r="134" spans="1:27" s="614" customFormat="1" ht="12.75" customHeight="1">
      <c r="A134" s="4"/>
      <c r="B134" s="5"/>
      <c r="C134" s="5"/>
      <c r="D134" s="5"/>
      <c r="E134" s="5"/>
      <c r="F134" s="5"/>
      <c r="G134" s="5"/>
      <c r="H134" s="5"/>
      <c r="I134" s="5"/>
      <c r="J134" s="5"/>
      <c r="K134" s="5"/>
      <c r="L134" s="5"/>
      <c r="M134" s="9"/>
      <c r="N134" s="9"/>
      <c r="O134" s="375"/>
      <c r="P134" s="9"/>
      <c r="Q134" s="531"/>
      <c r="R134" s="531"/>
      <c r="S134" s="531"/>
      <c r="T134" s="531"/>
      <c r="U134" s="531"/>
      <c r="V134" s="531"/>
      <c r="W134" s="531"/>
      <c r="X134" s="531"/>
      <c r="Y134" s="531"/>
      <c r="Z134" s="531"/>
      <c r="AA134" s="513"/>
    </row>
    <row r="135" spans="1:27" s="614" customFormat="1" ht="12.75" customHeight="1">
      <c r="A135" s="4"/>
      <c r="B135" s="5"/>
      <c r="C135" s="5"/>
      <c r="D135" s="585" t="s">
        <v>1649</v>
      </c>
      <c r="E135" s="696" t="str">
        <f>Translations!$B$1574</f>
        <v>Initial installed capacity and initial annual activity level</v>
      </c>
      <c r="F135" s="695"/>
      <c r="G135" s="695"/>
      <c r="H135" s="695"/>
      <c r="I135" s="695"/>
      <c r="J135" s="695"/>
      <c r="K135" s="695"/>
      <c r="L135" s="695"/>
      <c r="M135" s="695"/>
      <c r="N135" s="695"/>
      <c r="O135" s="368"/>
      <c r="P135" s="435"/>
      <c r="Q135" s="531"/>
      <c r="R135" s="513"/>
      <c r="S135" s="513"/>
      <c r="T135" s="513"/>
      <c r="U135" s="513"/>
      <c r="V135" s="513"/>
      <c r="W135" s="513"/>
      <c r="X135" s="513"/>
      <c r="Y135" s="513"/>
      <c r="Z135" s="513"/>
      <c r="AA135" s="513"/>
    </row>
    <row r="136" spans="1:27" s="614" customFormat="1" ht="4.5" customHeight="1">
      <c r="A136" s="4"/>
      <c r="B136" s="5"/>
      <c r="C136" s="5"/>
      <c r="D136" s="197"/>
      <c r="E136" s="759"/>
      <c r="F136" s="674"/>
      <c r="G136" s="674"/>
      <c r="H136" s="674"/>
      <c r="I136" s="674"/>
      <c r="J136" s="674"/>
      <c r="K136" s="674"/>
      <c r="L136" s="674"/>
      <c r="M136" s="674"/>
      <c r="N136" s="674"/>
      <c r="O136" s="368"/>
      <c r="P136" s="375"/>
      <c r="Q136" s="531"/>
      <c r="R136" s="513"/>
      <c r="S136" s="513"/>
      <c r="T136" s="513"/>
      <c r="U136" s="513"/>
      <c r="V136" s="513"/>
      <c r="W136" s="513"/>
      <c r="X136" s="513"/>
      <c r="Y136" s="513"/>
      <c r="Z136" s="513"/>
      <c r="AA136" s="513"/>
    </row>
    <row r="137" spans="1:27" s="618" customFormat="1" ht="38.25" customHeight="1" thickBot="1">
      <c r="A137" s="484"/>
      <c r="B137" s="429"/>
      <c r="C137" s="485"/>
      <c r="D137" s="905" t="str">
        <f>Translations!$B$440</f>
        <v>Sub-installation</v>
      </c>
      <c r="E137" s="906"/>
      <c r="F137" s="906"/>
      <c r="G137" s="907"/>
      <c r="H137" s="69" t="str">
        <f>EUconst_Unit</f>
        <v>Unit</v>
      </c>
      <c r="I137" s="69" t="str">
        <f>Translations!$B$1030</f>
        <v>Initial installed capacity</v>
      </c>
      <c r="J137" s="486" t="str">
        <f>Translations!$B$1187</f>
        <v>Initial annual activity level </v>
      </c>
      <c r="K137" s="478" t="str">
        <f>Translations!$B$1103</f>
        <v>error message</v>
      </c>
      <c r="L137" s="375"/>
      <c r="M137" s="375"/>
      <c r="N137" s="375"/>
      <c r="O137" s="487"/>
      <c r="P137" s="488"/>
      <c r="Q137" s="546"/>
      <c r="R137" s="546"/>
      <c r="S137" s="546"/>
      <c r="T137" s="546"/>
      <c r="U137" s="546"/>
      <c r="V137" s="540" t="s">
        <v>1968</v>
      </c>
      <c r="W137" s="546"/>
      <c r="X137" s="546"/>
      <c r="Y137" s="546"/>
      <c r="Z137" s="546"/>
      <c r="AA137" s="547"/>
    </row>
    <row r="138" spans="1:27" s="614" customFormat="1" ht="12.75" customHeight="1">
      <c r="A138" s="4"/>
      <c r="B138" s="5"/>
      <c r="C138" s="32">
        <v>1</v>
      </c>
      <c r="D138" s="902">
        <f aca="true" t="shared" si="33" ref="D138:D147">IF(D93="","",D93)</f>
      </c>
      <c r="E138" s="903"/>
      <c r="F138" s="903"/>
      <c r="G138" s="904"/>
      <c r="H138" s="68">
        <f aca="true" t="shared" si="34" ref="H138:H147">IF(D138&lt;&gt;"",INDEX(EUconst_BMlistUnits,MATCH($D138,EUconst_BMlistNames,0))&amp;" / "&amp;EUconst_Year,"")</f>
      </c>
      <c r="I138" s="623"/>
      <c r="J138" s="623"/>
      <c r="K138" s="489">
        <f aca="true" t="shared" si="35" ref="K138:K147">IF(D138="","",IF(COUNT(I138:J138)&lt;2,EUconst_Incomplete,""))</f>
      </c>
      <c r="L138" s="375"/>
      <c r="M138" s="375"/>
      <c r="N138" s="375"/>
      <c r="O138" s="375"/>
      <c r="P138" s="372"/>
      <c r="Q138" s="542" t="str">
        <f aca="true" t="shared" si="36" ref="Q138:Q153">EUconst_CNTR_CAPINI&amp;$V138&amp;"_"&amp;$D138</f>
        <v>CAPINI_2_</v>
      </c>
      <c r="R138" s="542" t="str">
        <f aca="true" t="shared" si="37" ref="R138:R153">EUconst_CNTR_HAL&amp;$V138&amp;"_"&amp;$D138</f>
        <v>HAL_2_</v>
      </c>
      <c r="S138" s="542" t="str">
        <f aca="true" t="shared" si="38" ref="S138:S147">EUconst_CNTR_HAL&amp;$V138&amp;"_"&amp;$C138</f>
        <v>HAL_2_1</v>
      </c>
      <c r="T138" s="531"/>
      <c r="U138" s="531"/>
      <c r="V138" s="543">
        <f>V109</f>
        <v>2</v>
      </c>
      <c r="W138" s="531"/>
      <c r="X138" s="531"/>
      <c r="Y138" s="542">
        <f>M86</f>
      </c>
      <c r="Z138" s="539" t="b">
        <f>AND(Y138&lt;&gt;"",D93="")</f>
        <v>0</v>
      </c>
      <c r="AA138" s="513"/>
    </row>
    <row r="139" spans="1:27" s="614" customFormat="1" ht="12.75" customHeight="1">
      <c r="A139" s="4"/>
      <c r="B139" s="5"/>
      <c r="C139" s="32">
        <v>2</v>
      </c>
      <c r="D139" s="873">
        <f t="shared" si="33"/>
      </c>
      <c r="E139" s="874"/>
      <c r="F139" s="874"/>
      <c r="G139" s="875"/>
      <c r="H139" s="67">
        <f t="shared" si="34"/>
      </c>
      <c r="I139" s="624"/>
      <c r="J139" s="624"/>
      <c r="K139" s="490">
        <f t="shared" si="35"/>
      </c>
      <c r="L139" s="375"/>
      <c r="M139" s="375"/>
      <c r="N139" s="375"/>
      <c r="O139" s="375"/>
      <c r="P139" s="372"/>
      <c r="Q139" s="542" t="str">
        <f t="shared" si="36"/>
        <v>CAPINI_2_</v>
      </c>
      <c r="R139" s="542" t="str">
        <f t="shared" si="37"/>
        <v>HAL_2_</v>
      </c>
      <c r="S139" s="542" t="str">
        <f t="shared" si="38"/>
        <v>HAL_2_2</v>
      </c>
      <c r="T139" s="531"/>
      <c r="U139" s="531"/>
      <c r="V139" s="544">
        <f aca="true" t="shared" si="39" ref="V139:V153">V138</f>
        <v>2</v>
      </c>
      <c r="W139" s="531"/>
      <c r="X139" s="531"/>
      <c r="Y139" s="542">
        <f>Y138</f>
      </c>
      <c r="Z139" s="539" t="b">
        <f aca="true" t="shared" si="40" ref="Z139:Z147">AND(Y139&lt;&gt;"",D94="")</f>
        <v>0</v>
      </c>
      <c r="AA139" s="513"/>
    </row>
    <row r="140" spans="1:27" s="614" customFormat="1" ht="12.75" customHeight="1">
      <c r="A140" s="4"/>
      <c r="B140" s="5"/>
      <c r="C140" s="32">
        <v>3</v>
      </c>
      <c r="D140" s="873">
        <f t="shared" si="33"/>
      </c>
      <c r="E140" s="874"/>
      <c r="F140" s="874"/>
      <c r="G140" s="875"/>
      <c r="H140" s="67">
        <f t="shared" si="34"/>
      </c>
      <c r="I140" s="624"/>
      <c r="J140" s="624"/>
      <c r="K140" s="490">
        <f t="shared" si="35"/>
      </c>
      <c r="L140" s="375"/>
      <c r="M140" s="375"/>
      <c r="N140" s="375"/>
      <c r="O140" s="375"/>
      <c r="P140" s="372"/>
      <c r="Q140" s="542" t="str">
        <f t="shared" si="36"/>
        <v>CAPINI_2_</v>
      </c>
      <c r="R140" s="542" t="str">
        <f t="shared" si="37"/>
        <v>HAL_2_</v>
      </c>
      <c r="S140" s="542" t="str">
        <f t="shared" si="38"/>
        <v>HAL_2_3</v>
      </c>
      <c r="T140" s="531"/>
      <c r="U140" s="531"/>
      <c r="V140" s="544">
        <f t="shared" si="39"/>
        <v>2</v>
      </c>
      <c r="W140" s="531"/>
      <c r="X140" s="531"/>
      <c r="Y140" s="542">
        <f aca="true" t="shared" si="41" ref="Y140:Y153">Y139</f>
      </c>
      <c r="Z140" s="539" t="b">
        <f t="shared" si="40"/>
        <v>0</v>
      </c>
      <c r="AA140" s="513"/>
    </row>
    <row r="141" spans="1:27" s="614" customFormat="1" ht="12.75" customHeight="1">
      <c r="A141" s="4"/>
      <c r="B141" s="5"/>
      <c r="C141" s="32">
        <v>4</v>
      </c>
      <c r="D141" s="873">
        <f t="shared" si="33"/>
      </c>
      <c r="E141" s="874"/>
      <c r="F141" s="874"/>
      <c r="G141" s="875"/>
      <c r="H141" s="67">
        <f t="shared" si="34"/>
      </c>
      <c r="I141" s="624"/>
      <c r="J141" s="624"/>
      <c r="K141" s="490">
        <f t="shared" si="35"/>
      </c>
      <c r="L141" s="375"/>
      <c r="M141" s="375"/>
      <c r="N141" s="375"/>
      <c r="O141" s="375"/>
      <c r="P141" s="372"/>
      <c r="Q141" s="542" t="str">
        <f t="shared" si="36"/>
        <v>CAPINI_2_</v>
      </c>
      <c r="R141" s="542" t="str">
        <f t="shared" si="37"/>
        <v>HAL_2_</v>
      </c>
      <c r="S141" s="542" t="str">
        <f t="shared" si="38"/>
        <v>HAL_2_4</v>
      </c>
      <c r="T141" s="531"/>
      <c r="U141" s="531"/>
      <c r="V141" s="544">
        <f t="shared" si="39"/>
        <v>2</v>
      </c>
      <c r="W141" s="531"/>
      <c r="X141" s="531"/>
      <c r="Y141" s="542">
        <f t="shared" si="41"/>
      </c>
      <c r="Z141" s="539" t="b">
        <f t="shared" si="40"/>
        <v>0</v>
      </c>
      <c r="AA141" s="513"/>
    </row>
    <row r="142" spans="1:27" s="614" customFormat="1" ht="12.75" customHeight="1">
      <c r="A142" s="4"/>
      <c r="B142" s="5"/>
      <c r="C142" s="32">
        <v>5</v>
      </c>
      <c r="D142" s="873">
        <f t="shared" si="33"/>
      </c>
      <c r="E142" s="874"/>
      <c r="F142" s="874"/>
      <c r="G142" s="875"/>
      <c r="H142" s="67">
        <f t="shared" si="34"/>
      </c>
      <c r="I142" s="624"/>
      <c r="J142" s="624"/>
      <c r="K142" s="490">
        <f t="shared" si="35"/>
      </c>
      <c r="L142" s="375"/>
      <c r="M142" s="375"/>
      <c r="N142" s="435"/>
      <c r="O142" s="375"/>
      <c r="P142" s="372"/>
      <c r="Q142" s="542" t="str">
        <f t="shared" si="36"/>
        <v>CAPINI_2_</v>
      </c>
      <c r="R142" s="542" t="str">
        <f t="shared" si="37"/>
        <v>HAL_2_</v>
      </c>
      <c r="S142" s="542" t="str">
        <f t="shared" si="38"/>
        <v>HAL_2_5</v>
      </c>
      <c r="T142" s="531"/>
      <c r="U142" s="531"/>
      <c r="V142" s="544">
        <f t="shared" si="39"/>
        <v>2</v>
      </c>
      <c r="W142" s="531"/>
      <c r="X142" s="531"/>
      <c r="Y142" s="542">
        <f t="shared" si="41"/>
      </c>
      <c r="Z142" s="539" t="b">
        <f t="shared" si="40"/>
        <v>0</v>
      </c>
      <c r="AA142" s="513"/>
    </row>
    <row r="143" spans="1:27" s="614" customFormat="1" ht="12.75" customHeight="1">
      <c r="A143" s="4"/>
      <c r="B143" s="5"/>
      <c r="C143" s="32">
        <v>6</v>
      </c>
      <c r="D143" s="873">
        <f t="shared" si="33"/>
      </c>
      <c r="E143" s="874"/>
      <c r="F143" s="874"/>
      <c r="G143" s="875"/>
      <c r="H143" s="67">
        <f t="shared" si="34"/>
      </c>
      <c r="I143" s="624"/>
      <c r="J143" s="624"/>
      <c r="K143" s="490">
        <f t="shared" si="35"/>
      </c>
      <c r="L143" s="375"/>
      <c r="M143" s="375"/>
      <c r="N143" s="375"/>
      <c r="O143" s="375"/>
      <c r="P143" s="9"/>
      <c r="Q143" s="542" t="str">
        <f t="shared" si="36"/>
        <v>CAPINI_2_</v>
      </c>
      <c r="R143" s="542" t="str">
        <f t="shared" si="37"/>
        <v>HAL_2_</v>
      </c>
      <c r="S143" s="542" t="str">
        <f t="shared" si="38"/>
        <v>HAL_2_6</v>
      </c>
      <c r="T143" s="531"/>
      <c r="U143" s="531"/>
      <c r="V143" s="544">
        <f t="shared" si="39"/>
        <v>2</v>
      </c>
      <c r="W143" s="531"/>
      <c r="X143" s="531"/>
      <c r="Y143" s="542">
        <f t="shared" si="41"/>
      </c>
      <c r="Z143" s="539" t="b">
        <f t="shared" si="40"/>
        <v>0</v>
      </c>
      <c r="AA143" s="513"/>
    </row>
    <row r="144" spans="1:27" s="614" customFormat="1" ht="12.75" customHeight="1">
      <c r="A144" s="4"/>
      <c r="B144" s="5"/>
      <c r="C144" s="32">
        <v>7</v>
      </c>
      <c r="D144" s="873">
        <f t="shared" si="33"/>
      </c>
      <c r="E144" s="874"/>
      <c r="F144" s="874"/>
      <c r="G144" s="875"/>
      <c r="H144" s="67">
        <f t="shared" si="34"/>
      </c>
      <c r="I144" s="624"/>
      <c r="J144" s="624"/>
      <c r="K144" s="490">
        <f t="shared" si="35"/>
      </c>
      <c r="L144" s="375"/>
      <c r="M144" s="375"/>
      <c r="N144" s="375"/>
      <c r="O144" s="375"/>
      <c r="P144" s="9"/>
      <c r="Q144" s="542" t="str">
        <f t="shared" si="36"/>
        <v>CAPINI_2_</v>
      </c>
      <c r="R144" s="542" t="str">
        <f t="shared" si="37"/>
        <v>HAL_2_</v>
      </c>
      <c r="S144" s="542" t="str">
        <f t="shared" si="38"/>
        <v>HAL_2_7</v>
      </c>
      <c r="T144" s="531"/>
      <c r="U144" s="531"/>
      <c r="V144" s="544">
        <f t="shared" si="39"/>
        <v>2</v>
      </c>
      <c r="W144" s="531"/>
      <c r="X144" s="531"/>
      <c r="Y144" s="542">
        <f t="shared" si="41"/>
      </c>
      <c r="Z144" s="539" t="b">
        <f t="shared" si="40"/>
        <v>0</v>
      </c>
      <c r="AA144" s="513"/>
    </row>
    <row r="145" spans="1:27" s="614" customFormat="1" ht="12.75" customHeight="1">
      <c r="A145" s="4"/>
      <c r="B145" s="5"/>
      <c r="C145" s="32">
        <v>8</v>
      </c>
      <c r="D145" s="873">
        <f t="shared" si="33"/>
      </c>
      <c r="E145" s="874"/>
      <c r="F145" s="874"/>
      <c r="G145" s="875"/>
      <c r="H145" s="67">
        <f t="shared" si="34"/>
      </c>
      <c r="I145" s="624"/>
      <c r="J145" s="624"/>
      <c r="K145" s="490">
        <f t="shared" si="35"/>
      </c>
      <c r="L145" s="375"/>
      <c r="M145" s="375"/>
      <c r="N145" s="375"/>
      <c r="O145" s="375"/>
      <c r="P145" s="9"/>
      <c r="Q145" s="542" t="str">
        <f t="shared" si="36"/>
        <v>CAPINI_2_</v>
      </c>
      <c r="R145" s="542" t="str">
        <f t="shared" si="37"/>
        <v>HAL_2_</v>
      </c>
      <c r="S145" s="542" t="str">
        <f t="shared" si="38"/>
        <v>HAL_2_8</v>
      </c>
      <c r="T145" s="531"/>
      <c r="U145" s="531"/>
      <c r="V145" s="544">
        <f t="shared" si="39"/>
        <v>2</v>
      </c>
      <c r="W145" s="531"/>
      <c r="X145" s="531"/>
      <c r="Y145" s="542">
        <f t="shared" si="41"/>
      </c>
      <c r="Z145" s="539" t="b">
        <f t="shared" si="40"/>
        <v>0</v>
      </c>
      <c r="AA145" s="513"/>
    </row>
    <row r="146" spans="1:27" s="614" customFormat="1" ht="12.75" customHeight="1">
      <c r="A146" s="4"/>
      <c r="B146" s="5"/>
      <c r="C146" s="32">
        <v>9</v>
      </c>
      <c r="D146" s="873">
        <f t="shared" si="33"/>
      </c>
      <c r="E146" s="874"/>
      <c r="F146" s="874"/>
      <c r="G146" s="875"/>
      <c r="H146" s="67">
        <f t="shared" si="34"/>
      </c>
      <c r="I146" s="624"/>
      <c r="J146" s="624"/>
      <c r="K146" s="490">
        <f t="shared" si="35"/>
      </c>
      <c r="L146" s="375"/>
      <c r="M146" s="375"/>
      <c r="N146" s="375"/>
      <c r="O146" s="375"/>
      <c r="P146" s="9"/>
      <c r="Q146" s="542" t="str">
        <f t="shared" si="36"/>
        <v>CAPINI_2_</v>
      </c>
      <c r="R146" s="542" t="str">
        <f t="shared" si="37"/>
        <v>HAL_2_</v>
      </c>
      <c r="S146" s="542" t="str">
        <f t="shared" si="38"/>
        <v>HAL_2_9</v>
      </c>
      <c r="T146" s="531"/>
      <c r="U146" s="531"/>
      <c r="V146" s="544">
        <f t="shared" si="39"/>
        <v>2</v>
      </c>
      <c r="W146" s="531"/>
      <c r="X146" s="531"/>
      <c r="Y146" s="542">
        <f t="shared" si="41"/>
      </c>
      <c r="Z146" s="539" t="b">
        <f t="shared" si="40"/>
        <v>0</v>
      </c>
      <c r="AA146" s="513"/>
    </row>
    <row r="147" spans="1:27" s="614" customFormat="1" ht="12.75" customHeight="1">
      <c r="A147" s="4"/>
      <c r="B147" s="5"/>
      <c r="C147" s="28">
        <v>10</v>
      </c>
      <c r="D147" s="896">
        <f t="shared" si="33"/>
      </c>
      <c r="E147" s="897"/>
      <c r="F147" s="897"/>
      <c r="G147" s="898"/>
      <c r="H147" s="66">
        <f t="shared" si="34"/>
      </c>
      <c r="I147" s="625"/>
      <c r="J147" s="625"/>
      <c r="K147" s="491">
        <f t="shared" si="35"/>
      </c>
      <c r="L147" s="375"/>
      <c r="M147" s="375"/>
      <c r="N147" s="375"/>
      <c r="O147" s="375"/>
      <c r="P147" s="9"/>
      <c r="Q147" s="542" t="str">
        <f t="shared" si="36"/>
        <v>CAPINI_2_</v>
      </c>
      <c r="R147" s="542" t="str">
        <f t="shared" si="37"/>
        <v>HAL_2_</v>
      </c>
      <c r="S147" s="542" t="str">
        <f t="shared" si="38"/>
        <v>HAL_2_10</v>
      </c>
      <c r="T147" s="531"/>
      <c r="U147" s="531"/>
      <c r="V147" s="544">
        <f t="shared" si="39"/>
        <v>2</v>
      </c>
      <c r="W147" s="531"/>
      <c r="X147" s="531"/>
      <c r="Y147" s="542">
        <f t="shared" si="41"/>
      </c>
      <c r="Z147" s="539" t="b">
        <f t="shared" si="40"/>
        <v>0</v>
      </c>
      <c r="AA147" s="513"/>
    </row>
    <row r="148" spans="1:27" s="614" customFormat="1" ht="12.75" customHeight="1">
      <c r="A148" s="4"/>
      <c r="B148" s="5"/>
      <c r="C148" s="32">
        <v>11</v>
      </c>
      <c r="D148" s="882" t="str">
        <f aca="true" t="shared" si="42" ref="D148:D153">INDEX(EUconst_FallBackListNames,C148-10)</f>
        <v>Heat benchmark sub-installation, CL</v>
      </c>
      <c r="E148" s="883"/>
      <c r="F148" s="883"/>
      <c r="G148" s="884"/>
      <c r="H148" s="68" t="str">
        <f aca="true" t="shared" si="43" ref="H148:H153">IF(D148&lt;&gt;"",INDEX(EUconst_FallBackListUnits,MATCH($D148,EUconst_FallBackListNames,0))&amp;" / "&amp;EUconst_Year,"")</f>
        <v>TJ / year</v>
      </c>
      <c r="I148" s="623"/>
      <c r="J148" s="623"/>
      <c r="K148" s="492">
        <f aca="true" t="shared" si="44" ref="K148:K153">IF(Y148="","",IF(AND(COUNT(G126:N126)&gt;0,COUNT(I148:J148)&lt;2),EUconst_Incomplete,""))</f>
      </c>
      <c r="L148" s="375"/>
      <c r="M148" s="375"/>
      <c r="N148" s="375"/>
      <c r="O148" s="375"/>
      <c r="P148" s="9"/>
      <c r="Q148" s="542" t="str">
        <f t="shared" si="36"/>
        <v>CAPINI_2_Heat benchmark sub-installation, CL</v>
      </c>
      <c r="R148" s="542" t="str">
        <f t="shared" si="37"/>
        <v>HAL_2_Heat benchmark sub-installation, CL</v>
      </c>
      <c r="S148" s="531"/>
      <c r="T148" s="531"/>
      <c r="U148" s="531"/>
      <c r="V148" s="544">
        <f t="shared" si="39"/>
        <v>2</v>
      </c>
      <c r="W148" s="531"/>
      <c r="X148" s="531"/>
      <c r="Y148" s="542">
        <f t="shared" si="41"/>
      </c>
      <c r="Z148" s="539" t="b">
        <f aca="true" t="shared" si="45" ref="Z148:Z153">AND(Y148&lt;&gt;"",COUNT(G103:N103)=0)</f>
        <v>0</v>
      </c>
      <c r="AA148" s="513"/>
    </row>
    <row r="149" spans="1:27" s="614" customFormat="1" ht="12.75" customHeight="1">
      <c r="A149" s="4"/>
      <c r="B149" s="5"/>
      <c r="C149" s="32">
        <v>12</v>
      </c>
      <c r="D149" s="876" t="str">
        <f t="shared" si="42"/>
        <v>Heat benchmark sub-installation, non-CL</v>
      </c>
      <c r="E149" s="877"/>
      <c r="F149" s="877"/>
      <c r="G149" s="878"/>
      <c r="H149" s="67" t="str">
        <f t="shared" si="43"/>
        <v>TJ / year</v>
      </c>
      <c r="I149" s="624"/>
      <c r="J149" s="624"/>
      <c r="K149" s="490">
        <f t="shared" si="44"/>
      </c>
      <c r="L149" s="375"/>
      <c r="M149" s="375"/>
      <c r="N149" s="375"/>
      <c r="O149" s="375"/>
      <c r="P149" s="9"/>
      <c r="Q149" s="542" t="str">
        <f t="shared" si="36"/>
        <v>CAPINI_2_Heat benchmark sub-installation, non-CL</v>
      </c>
      <c r="R149" s="542" t="str">
        <f t="shared" si="37"/>
        <v>HAL_2_Heat benchmark sub-installation, non-CL</v>
      </c>
      <c r="S149" s="531"/>
      <c r="T149" s="531"/>
      <c r="U149" s="531"/>
      <c r="V149" s="544">
        <f t="shared" si="39"/>
        <v>2</v>
      </c>
      <c r="W149" s="531"/>
      <c r="X149" s="531"/>
      <c r="Y149" s="542">
        <f t="shared" si="41"/>
      </c>
      <c r="Z149" s="539" t="b">
        <f t="shared" si="45"/>
        <v>0</v>
      </c>
      <c r="AA149" s="513"/>
    </row>
    <row r="150" spans="1:27" s="614" customFormat="1" ht="12.75" customHeight="1">
      <c r="A150" s="4"/>
      <c r="B150" s="5"/>
      <c r="C150" s="32">
        <v>13</v>
      </c>
      <c r="D150" s="876" t="str">
        <f t="shared" si="42"/>
        <v>Fuel benchmark sub-installation, CL</v>
      </c>
      <c r="E150" s="877"/>
      <c r="F150" s="877"/>
      <c r="G150" s="878"/>
      <c r="H150" s="67" t="str">
        <f t="shared" si="43"/>
        <v>TJ / year</v>
      </c>
      <c r="I150" s="624"/>
      <c r="J150" s="624"/>
      <c r="K150" s="490">
        <f t="shared" si="44"/>
      </c>
      <c r="L150" s="375"/>
      <c r="M150" s="375"/>
      <c r="N150" s="375"/>
      <c r="O150" s="375"/>
      <c r="P150" s="9"/>
      <c r="Q150" s="542" t="str">
        <f t="shared" si="36"/>
        <v>CAPINI_2_Fuel benchmark sub-installation, CL</v>
      </c>
      <c r="R150" s="542" t="str">
        <f t="shared" si="37"/>
        <v>HAL_2_Fuel benchmark sub-installation, CL</v>
      </c>
      <c r="S150" s="531"/>
      <c r="T150" s="531"/>
      <c r="U150" s="531"/>
      <c r="V150" s="544">
        <f t="shared" si="39"/>
        <v>2</v>
      </c>
      <c r="W150" s="531"/>
      <c r="X150" s="531"/>
      <c r="Y150" s="542">
        <f t="shared" si="41"/>
      </c>
      <c r="Z150" s="539" t="b">
        <f t="shared" si="45"/>
        <v>0</v>
      </c>
      <c r="AA150" s="513"/>
    </row>
    <row r="151" spans="1:27" s="614" customFormat="1" ht="12.75" customHeight="1">
      <c r="A151" s="4"/>
      <c r="B151" s="5"/>
      <c r="C151" s="32">
        <v>14</v>
      </c>
      <c r="D151" s="876" t="str">
        <f t="shared" si="42"/>
        <v>Fuel benchmark sub-installation, non-CL</v>
      </c>
      <c r="E151" s="877"/>
      <c r="F151" s="877"/>
      <c r="G151" s="878"/>
      <c r="H151" s="67" t="str">
        <f t="shared" si="43"/>
        <v>TJ / year</v>
      </c>
      <c r="I151" s="624"/>
      <c r="J151" s="624"/>
      <c r="K151" s="490">
        <f t="shared" si="44"/>
      </c>
      <c r="L151" s="375"/>
      <c r="M151" s="375"/>
      <c r="N151" s="375"/>
      <c r="O151" s="375"/>
      <c r="P151" s="9"/>
      <c r="Q151" s="542" t="str">
        <f t="shared" si="36"/>
        <v>CAPINI_2_Fuel benchmark sub-installation, non-CL</v>
      </c>
      <c r="R151" s="542" t="str">
        <f t="shared" si="37"/>
        <v>HAL_2_Fuel benchmark sub-installation, non-CL</v>
      </c>
      <c r="S151" s="531"/>
      <c r="T151" s="531"/>
      <c r="U151" s="531"/>
      <c r="V151" s="544">
        <f t="shared" si="39"/>
        <v>2</v>
      </c>
      <c r="W151" s="531"/>
      <c r="X151" s="531"/>
      <c r="Y151" s="542">
        <f t="shared" si="41"/>
      </c>
      <c r="Z151" s="539" t="b">
        <f t="shared" si="45"/>
        <v>0</v>
      </c>
      <c r="AA151" s="513"/>
    </row>
    <row r="152" spans="1:27" s="614" customFormat="1" ht="12.75" customHeight="1">
      <c r="A152" s="4"/>
      <c r="B152" s="5"/>
      <c r="C152" s="32">
        <v>15</v>
      </c>
      <c r="D152" s="876" t="str">
        <f t="shared" si="42"/>
        <v>Process emissions sub-installation, CL</v>
      </c>
      <c r="E152" s="877"/>
      <c r="F152" s="877"/>
      <c r="G152" s="878"/>
      <c r="H152" s="67" t="str">
        <f t="shared" si="43"/>
        <v>t CO2e / year</v>
      </c>
      <c r="I152" s="624"/>
      <c r="J152" s="624"/>
      <c r="K152" s="490">
        <f t="shared" si="44"/>
      </c>
      <c r="L152" s="375"/>
      <c r="M152" s="375"/>
      <c r="N152" s="375"/>
      <c r="O152" s="375"/>
      <c r="P152" s="9"/>
      <c r="Q152" s="542" t="str">
        <f t="shared" si="36"/>
        <v>CAPINI_2_Process emissions sub-installation, CL</v>
      </c>
      <c r="R152" s="542" t="str">
        <f t="shared" si="37"/>
        <v>HAL_2_Process emissions sub-installation, CL</v>
      </c>
      <c r="S152" s="531"/>
      <c r="T152" s="531"/>
      <c r="U152" s="531"/>
      <c r="V152" s="544">
        <f t="shared" si="39"/>
        <v>2</v>
      </c>
      <c r="W152" s="531"/>
      <c r="X152" s="531"/>
      <c r="Y152" s="542">
        <f t="shared" si="41"/>
      </c>
      <c r="Z152" s="539" t="b">
        <f t="shared" si="45"/>
        <v>0</v>
      </c>
      <c r="AA152" s="513"/>
    </row>
    <row r="153" spans="1:27" s="614" customFormat="1" ht="12.75" customHeight="1" thickBot="1">
      <c r="A153" s="4"/>
      <c r="B153" s="5"/>
      <c r="C153" s="28">
        <v>16</v>
      </c>
      <c r="D153" s="885" t="str">
        <f t="shared" si="42"/>
        <v>Process emissions sub-installation, non-CL</v>
      </c>
      <c r="E153" s="886"/>
      <c r="F153" s="886"/>
      <c r="G153" s="887"/>
      <c r="H153" s="66" t="str">
        <f t="shared" si="43"/>
        <v>t CO2e / year</v>
      </c>
      <c r="I153" s="625"/>
      <c r="J153" s="625"/>
      <c r="K153" s="491">
        <f t="shared" si="44"/>
      </c>
      <c r="L153" s="375"/>
      <c r="M153" s="375"/>
      <c r="N153" s="375"/>
      <c r="O153" s="375"/>
      <c r="P153" s="9"/>
      <c r="Q153" s="542" t="str">
        <f t="shared" si="36"/>
        <v>CAPINI_2_Process emissions sub-installation, non-CL</v>
      </c>
      <c r="R153" s="542" t="str">
        <f t="shared" si="37"/>
        <v>HAL_2_Process emissions sub-installation, non-CL</v>
      </c>
      <c r="S153" s="531"/>
      <c r="T153" s="531"/>
      <c r="U153" s="531"/>
      <c r="V153" s="545">
        <f t="shared" si="39"/>
        <v>2</v>
      </c>
      <c r="W153" s="531"/>
      <c r="X153" s="531"/>
      <c r="Y153" s="542">
        <f t="shared" si="41"/>
      </c>
      <c r="Z153" s="539" t="b">
        <f t="shared" si="45"/>
        <v>0</v>
      </c>
      <c r="AA153" s="513"/>
    </row>
    <row r="154" spans="1:27" s="614" customFormat="1" ht="39.75" customHeight="1">
      <c r="A154" s="4"/>
      <c r="B154" s="5"/>
      <c r="C154" s="7"/>
      <c r="D154" s="5"/>
      <c r="E154" s="5"/>
      <c r="F154" s="5"/>
      <c r="G154" s="5"/>
      <c r="H154" s="5"/>
      <c r="I154" s="5"/>
      <c r="J154" s="5"/>
      <c r="K154" s="5"/>
      <c r="L154" s="5"/>
      <c r="M154" s="9"/>
      <c r="N154" s="9"/>
      <c r="O154" s="366"/>
      <c r="P154" s="9"/>
      <c r="Q154" s="531"/>
      <c r="R154" s="513"/>
      <c r="S154" s="513"/>
      <c r="T154" s="513"/>
      <c r="U154" s="513"/>
      <c r="V154" s="513"/>
      <c r="W154" s="513"/>
      <c r="X154" s="513"/>
      <c r="Y154" s="513"/>
      <c r="Z154" s="513"/>
      <c r="AA154" s="513"/>
    </row>
    <row r="155" spans="1:27" s="614" customFormat="1" ht="12.75">
      <c r="A155" s="4"/>
      <c r="B155" s="20"/>
      <c r="C155" s="20"/>
      <c r="D155" s="732" t="str">
        <f>HYPERLINK(R155,Translations!$B$336)</f>
        <v>&lt;&lt;&lt; Click here to proceed to next sheet &gt;&gt;&gt; </v>
      </c>
      <c r="E155" s="733"/>
      <c r="F155" s="733"/>
      <c r="G155" s="733"/>
      <c r="H155" s="733"/>
      <c r="I155" s="733"/>
      <c r="J155" s="733"/>
      <c r="K155" s="733"/>
      <c r="L155" s="733"/>
      <c r="M155" s="733"/>
      <c r="N155" s="733"/>
      <c r="O155" s="20"/>
      <c r="P155" s="20"/>
      <c r="Q155" s="386"/>
      <c r="R155" s="542" t="str">
        <f>$W$2</f>
        <v>#C_MergerSplitTransfer!$C$6</v>
      </c>
      <c r="S155" s="386"/>
      <c r="T155" s="386"/>
      <c r="U155" s="386"/>
      <c r="V155" s="386"/>
      <c r="W155" s="386"/>
      <c r="X155" s="386"/>
      <c r="Y155" s="386"/>
      <c r="Z155" s="386"/>
      <c r="AA155" s="513"/>
    </row>
    <row r="156" spans="2:27" s="614" customFormat="1" ht="12.75">
      <c r="B156" s="615"/>
      <c r="C156" s="615"/>
      <c r="D156" s="615"/>
      <c r="E156" s="615"/>
      <c r="F156" s="615"/>
      <c r="G156" s="615"/>
      <c r="H156" s="615"/>
      <c r="I156" s="615"/>
      <c r="J156" s="615"/>
      <c r="K156" s="615"/>
      <c r="L156" s="615"/>
      <c r="M156" s="611"/>
      <c r="N156" s="611"/>
      <c r="O156" s="611"/>
      <c r="P156" s="611"/>
      <c r="Q156" s="548" t="s">
        <v>496</v>
      </c>
      <c r="R156" s="548" t="s">
        <v>496</v>
      </c>
      <c r="S156" s="548" t="s">
        <v>496</v>
      </c>
      <c r="T156" s="548" t="s">
        <v>496</v>
      </c>
      <c r="U156" s="548" t="s">
        <v>496</v>
      </c>
      <c r="V156" s="548" t="s">
        <v>496</v>
      </c>
      <c r="W156" s="548" t="s">
        <v>496</v>
      </c>
      <c r="X156" s="548" t="s">
        <v>496</v>
      </c>
      <c r="Y156" s="548" t="s">
        <v>496</v>
      </c>
      <c r="Z156" s="548" t="s">
        <v>496</v>
      </c>
      <c r="AA156" s="513"/>
    </row>
  </sheetData>
  <sheetProtection sheet="1" objects="1" scenarios="1" formatCells="0" formatColumns="0" formatRows="0"/>
  <mergeCells count="160">
    <mergeCell ref="D46:F46"/>
    <mergeCell ref="D47:F47"/>
    <mergeCell ref="D155:N155"/>
    <mergeCell ref="E38:N38"/>
    <mergeCell ref="E39:N39"/>
    <mergeCell ref="D116:F116"/>
    <mergeCell ref="D117:F117"/>
    <mergeCell ref="D48:F48"/>
    <mergeCell ref="D49:F49"/>
    <mergeCell ref="D61:F61"/>
    <mergeCell ref="D51:F51"/>
    <mergeCell ref="D52:F52"/>
    <mergeCell ref="D53:F53"/>
    <mergeCell ref="D54:F54"/>
    <mergeCell ref="D125:F125"/>
    <mergeCell ref="D107:F107"/>
    <mergeCell ref="D108:F108"/>
    <mergeCell ref="D109:F109"/>
    <mergeCell ref="D110:F110"/>
    <mergeCell ref="D126:F126"/>
    <mergeCell ref="D127:F127"/>
    <mergeCell ref="D128:F128"/>
    <mergeCell ref="D129:F129"/>
    <mergeCell ref="D118:F118"/>
    <mergeCell ref="D119:F119"/>
    <mergeCell ref="D120:F120"/>
    <mergeCell ref="D121:F121"/>
    <mergeCell ref="D122:F122"/>
    <mergeCell ref="M86:N86"/>
    <mergeCell ref="D99:F99"/>
    <mergeCell ref="D100:F100"/>
    <mergeCell ref="D101:F101"/>
    <mergeCell ref="D102:F102"/>
    <mergeCell ref="D124:F124"/>
    <mergeCell ref="D123:F123"/>
    <mergeCell ref="E112:N112"/>
    <mergeCell ref="D114:F114"/>
    <mergeCell ref="D115:F115"/>
    <mergeCell ref="D151:G151"/>
    <mergeCell ref="D152:G152"/>
    <mergeCell ref="D137:G137"/>
    <mergeCell ref="D138:G138"/>
    <mergeCell ref="D139:G139"/>
    <mergeCell ref="D132:F132"/>
    <mergeCell ref="D133:F133"/>
    <mergeCell ref="D140:G140"/>
    <mergeCell ref="D141:G141"/>
    <mergeCell ref="E135:N135"/>
    <mergeCell ref="D153:G153"/>
    <mergeCell ref="D142:G142"/>
    <mergeCell ref="D143:G143"/>
    <mergeCell ref="D144:G144"/>
    <mergeCell ref="D145:G145"/>
    <mergeCell ref="D146:G146"/>
    <mergeCell ref="D147:G147"/>
    <mergeCell ref="D148:G148"/>
    <mergeCell ref="D149:G149"/>
    <mergeCell ref="D150:G150"/>
    <mergeCell ref="E136:N136"/>
    <mergeCell ref="D130:F130"/>
    <mergeCell ref="D131:F131"/>
    <mergeCell ref="D104:F104"/>
    <mergeCell ref="E88:N88"/>
    <mergeCell ref="D91:F91"/>
    <mergeCell ref="D92:F92"/>
    <mergeCell ref="D93:F93"/>
    <mergeCell ref="D94:F94"/>
    <mergeCell ref="D106:F106"/>
    <mergeCell ref="K85:N85"/>
    <mergeCell ref="E14:N14"/>
    <mergeCell ref="E63:N63"/>
    <mergeCell ref="E64:N64"/>
    <mergeCell ref="D24:F24"/>
    <mergeCell ref="D17:F17"/>
    <mergeCell ref="D19:F19"/>
    <mergeCell ref="D56:F56"/>
    <mergeCell ref="D55:F55"/>
    <mergeCell ref="D42:F42"/>
    <mergeCell ref="D82:G82"/>
    <mergeCell ref="D66:G66"/>
    <mergeCell ref="D105:F105"/>
    <mergeCell ref="D95:F95"/>
    <mergeCell ref="D96:F96"/>
    <mergeCell ref="D97:F97"/>
    <mergeCell ref="D98:F98"/>
    <mergeCell ref="D78:G78"/>
    <mergeCell ref="D85:H85"/>
    <mergeCell ref="D103:F103"/>
    <mergeCell ref="D80:G80"/>
    <mergeCell ref="D57:F57"/>
    <mergeCell ref="D58:F58"/>
    <mergeCell ref="D59:F59"/>
    <mergeCell ref="D60:F60"/>
    <mergeCell ref="D81:G81"/>
    <mergeCell ref="D67:G67"/>
    <mergeCell ref="D68:G68"/>
    <mergeCell ref="D75:G75"/>
    <mergeCell ref="D71:G71"/>
    <mergeCell ref="D25:F25"/>
    <mergeCell ref="D26:F26"/>
    <mergeCell ref="D27:F27"/>
    <mergeCell ref="D76:G76"/>
    <mergeCell ref="D73:G73"/>
    <mergeCell ref="E65:N65"/>
    <mergeCell ref="D43:F43"/>
    <mergeCell ref="D44:F44"/>
    <mergeCell ref="D45:F45"/>
    <mergeCell ref="D50:F50"/>
    <mergeCell ref="M4:N4"/>
    <mergeCell ref="D6:N6"/>
    <mergeCell ref="B2:D4"/>
    <mergeCell ref="G2:H2"/>
    <mergeCell ref="I2:J2"/>
    <mergeCell ref="K2:L2"/>
    <mergeCell ref="M2:N2"/>
    <mergeCell ref="D23:F23"/>
    <mergeCell ref="I4:J4"/>
    <mergeCell ref="K4:L4"/>
    <mergeCell ref="D36:F36"/>
    <mergeCell ref="D32:F32"/>
    <mergeCell ref="K10:N10"/>
    <mergeCell ref="D21:F21"/>
    <mergeCell ref="D10:H10"/>
    <mergeCell ref="M11:N11"/>
    <mergeCell ref="G4:H4"/>
    <mergeCell ref="E3:F3"/>
    <mergeCell ref="G3:H3"/>
    <mergeCell ref="I3:J3"/>
    <mergeCell ref="E4:F4"/>
    <mergeCell ref="D22:F22"/>
    <mergeCell ref="K3:L3"/>
    <mergeCell ref="D20:F20"/>
    <mergeCell ref="M3:N3"/>
    <mergeCell ref="E13:N13"/>
    <mergeCell ref="D18:F18"/>
    <mergeCell ref="D79:G79"/>
    <mergeCell ref="D28:F28"/>
    <mergeCell ref="D29:F29"/>
    <mergeCell ref="D30:F30"/>
    <mergeCell ref="D31:F31"/>
    <mergeCell ref="D77:G77"/>
    <mergeCell ref="D74:G74"/>
    <mergeCell ref="D72:G72"/>
    <mergeCell ref="D33:F33"/>
    <mergeCell ref="D35:F35"/>
    <mergeCell ref="U4:V4"/>
    <mergeCell ref="W4:X4"/>
    <mergeCell ref="Y4:Z4"/>
    <mergeCell ref="S4:T4"/>
    <mergeCell ref="D69:G69"/>
    <mergeCell ref="D70:G70"/>
    <mergeCell ref="D34:F34"/>
    <mergeCell ref="S3:T3"/>
    <mergeCell ref="U3:V3"/>
    <mergeCell ref="S2:T2"/>
    <mergeCell ref="U2:V2"/>
    <mergeCell ref="W2:X2"/>
    <mergeCell ref="Y2:Z2"/>
    <mergeCell ref="W3:X3"/>
    <mergeCell ref="Y3:Z3"/>
  </mergeCells>
  <conditionalFormatting sqref="I67:J82 I138:J153">
    <cfRule type="expression" priority="33" dxfId="20" stopIfTrue="1">
      <formula>$Z67</formula>
    </cfRule>
  </conditionalFormatting>
  <conditionalFormatting sqref="G18:N35 D19:F28 G92:N109 D93:F102">
    <cfRule type="expression" priority="30" dxfId="20" stopIfTrue="1">
      <formula>$Z18=TRUE</formula>
    </cfRule>
  </conditionalFormatting>
  <conditionalFormatting sqref="D44:F53">
    <cfRule type="expression" priority="4" dxfId="20" stopIfTrue="1">
      <formula>$Z44=TRUE</formula>
    </cfRule>
  </conditionalFormatting>
  <conditionalFormatting sqref="G115:N115 D116:F125">
    <cfRule type="expression" priority="3" dxfId="20" stopIfTrue="1">
      <formula>$Z115=TRUE</formula>
    </cfRule>
  </conditionalFormatting>
  <conditionalFormatting sqref="G116:N132">
    <cfRule type="expression" priority="2" dxfId="20" stopIfTrue="1">
      <formula>$Z116=TRUE</formula>
    </cfRule>
  </conditionalFormatting>
  <conditionalFormatting sqref="G43:N60">
    <cfRule type="expression" priority="1" dxfId="20" stopIfTrue="1">
      <formula>$Z43=TRUE</formula>
    </cfRule>
  </conditionalFormatting>
  <dataValidations count="1">
    <dataValidation type="list" allowBlank="1" showInputMessage="1" showErrorMessage="1" sqref="E19:F27 D19:D28 E93:F101 D93:D102">
      <formula1>EUconst_BMlistNames</formula1>
    </dataValidation>
  </dataValidations>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8">
    <tabColor rgb="FFFFC000"/>
  </sheetPr>
  <dimension ref="A1:AA73"/>
  <sheetViews>
    <sheetView zoomScalePageLayoutView="0" workbookViewId="0" topLeftCell="A1">
      <pane ySplit="4" topLeftCell="A5" activePane="bottomLeft" state="frozen"/>
      <selection pane="topLeft" activeCell="F27" sqref="F27:I27"/>
      <selection pane="bottomLeft" activeCell="I2" sqref="I2:J2"/>
    </sheetView>
  </sheetViews>
  <sheetFormatPr defaultColWidth="11.421875" defaultRowHeight="12.75"/>
  <cols>
    <col min="1" max="1" width="4.7109375" style="85" hidden="1" customWidth="1"/>
    <col min="2" max="2" width="2.7109375" style="626" customWidth="1"/>
    <col min="3" max="4" width="4.7109375" style="626" customWidth="1"/>
    <col min="5" max="14" width="12.7109375" style="626" customWidth="1"/>
    <col min="15" max="15" width="4.7109375" style="626" customWidth="1"/>
    <col min="16" max="16" width="11.421875" style="626" hidden="1" customWidth="1"/>
    <col min="17" max="27" width="11.421875" style="605" hidden="1" customWidth="1"/>
    <col min="28" max="16384" width="11.421875" style="626" customWidth="1"/>
  </cols>
  <sheetData>
    <row r="1" spans="1:27" s="4" customFormat="1" ht="13.5" hidden="1" thickBot="1">
      <c r="A1" s="4" t="str">
        <f>Translations!$B$1507</f>
        <v>ausblenden</v>
      </c>
      <c r="P1" s="370" t="str">
        <f>Translations!$B$1507</f>
        <v>ausblenden</v>
      </c>
      <c r="Q1" s="513" t="str">
        <f>Translations!$B$1507</f>
        <v>ausblenden</v>
      </c>
      <c r="R1" s="513" t="str">
        <f>Translations!$B$1507</f>
        <v>ausblenden</v>
      </c>
      <c r="S1" s="530" t="str">
        <f>Translations!$B$1507</f>
        <v>ausblenden</v>
      </c>
      <c r="T1" s="513" t="str">
        <f>Translations!$B$1507</f>
        <v>ausblenden</v>
      </c>
      <c r="U1" s="513" t="str">
        <f>Translations!$B$1507</f>
        <v>ausblenden</v>
      </c>
      <c r="V1" s="513" t="str">
        <f>Translations!$B$1507</f>
        <v>ausblenden</v>
      </c>
      <c r="W1" s="513" t="str">
        <f>Translations!$B$1507</f>
        <v>ausblenden</v>
      </c>
      <c r="X1" s="513" t="str">
        <f>Translations!$B$1507</f>
        <v>ausblenden</v>
      </c>
      <c r="Y1" s="513" t="str">
        <f>Translations!$B$1507</f>
        <v>ausblenden</v>
      </c>
      <c r="Z1" s="513" t="str">
        <f>Translations!$B$1507</f>
        <v>ausblenden</v>
      </c>
      <c r="AA1" s="513" t="str">
        <f>Translations!$B$1507</f>
        <v>ausblenden</v>
      </c>
    </row>
    <row r="2" spans="1:27" s="614" customFormat="1" ht="13.5" customHeight="1" thickBot="1">
      <c r="A2" s="4"/>
      <c r="B2" s="860" t="str">
        <f>Translations!$B$1577</f>
        <v>C. Merger, Split, Transfer</v>
      </c>
      <c r="C2" s="861"/>
      <c r="D2" s="862"/>
      <c r="E2" s="205" t="str">
        <f>Translations!$B$276</f>
        <v>Navigation area:</v>
      </c>
      <c r="F2" s="203"/>
      <c r="G2" s="668" t="str">
        <f>Translations!$B$290</f>
        <v>Table of contents</v>
      </c>
      <c r="H2" s="655"/>
      <c r="I2" s="655" t="str">
        <f>HYPERLINK(U2,Translations!$B$291)</f>
        <v>Previous sheet</v>
      </c>
      <c r="J2" s="655"/>
      <c r="K2" s="655" t="str">
        <f>HYPERLINK(W2,Translations!$B$277)</f>
        <v>Next sheet</v>
      </c>
      <c r="L2" s="655"/>
      <c r="M2" s="655" t="str">
        <f>HYPERLINK(Y2,Translations!$B$278)</f>
        <v>Summary</v>
      </c>
      <c r="N2" s="662"/>
      <c r="O2" s="9"/>
      <c r="P2" s="9"/>
      <c r="Q2" s="531" t="s">
        <v>1998</v>
      </c>
      <c r="R2" s="531"/>
      <c r="S2" s="657"/>
      <c r="T2" s="658"/>
      <c r="U2" s="659" t="str">
        <f>"#"&amp;ADDRESS(ROW(C6),COLUMN(C6),,,B_InitialSituation!Q3)</f>
        <v>#B_InitialSituation!$C$6</v>
      </c>
      <c r="V2" s="658"/>
      <c r="W2" s="659" t="str">
        <f>"#"&amp;ADDRESS(ROW(C6),COLUMN(C6),,,D_Summary!Q3)</f>
        <v>#D_Summary!$C$6</v>
      </c>
      <c r="X2" s="658"/>
      <c r="Y2" s="659" t="str">
        <f>"#"&amp;ADDRESS(ROW(C6),COLUMN(C6),,,D_Summary!Q3)</f>
        <v>#D_Summary!$C$6</v>
      </c>
      <c r="Z2" s="660"/>
      <c r="AA2" s="513"/>
    </row>
    <row r="3" spans="1:27" s="614" customFormat="1" ht="13.5" thickBot="1">
      <c r="A3" s="4"/>
      <c r="B3" s="863"/>
      <c r="C3" s="864"/>
      <c r="D3" s="865"/>
      <c r="E3" s="655" t="str">
        <f>HYPERLINK(R3,Translations!$B$279)</f>
        <v>Top of sheet</v>
      </c>
      <c r="F3" s="703"/>
      <c r="G3" s="669" t="str">
        <f>HYPERLINK(S3,Translations!$B$1502)</f>
        <v>Installation 1</v>
      </c>
      <c r="H3" s="670"/>
      <c r="I3" s="705" t="str">
        <f>HYPERLINK(U3,Translations!$B$1503)</f>
        <v>Installation 2</v>
      </c>
      <c r="J3" s="670"/>
      <c r="K3" s="705"/>
      <c r="L3" s="670"/>
      <c r="M3" s="705"/>
      <c r="N3" s="670"/>
      <c r="O3" s="9"/>
      <c r="P3" s="9"/>
      <c r="Q3" s="590" t="str">
        <f ca="1">IF(ISERROR(CELL("filename",Q1)),"C_MergerSplitTransfer",MID(CELL("filename",Q1),FIND("]",CELL("filename",Q1))+1,1024))</f>
        <v>C_MergerSplitTransfer</v>
      </c>
      <c r="R3" s="591" t="str">
        <f>"#"&amp;ADDRESS(ROW(C6),COLUMN(C6))</f>
        <v>#$C$6</v>
      </c>
      <c r="S3" s="728" t="str">
        <f>"#"&amp;ADDRESS(ROW(C10),COLUMN(C10))</f>
        <v>#$C$10</v>
      </c>
      <c r="T3" s="729"/>
      <c r="U3" s="730" t="str">
        <f>"#"&amp;ADDRESS(ROW(C40),COLUMN(C40))</f>
        <v>#$C$40</v>
      </c>
      <c r="V3" s="729"/>
      <c r="W3" s="730"/>
      <c r="X3" s="729"/>
      <c r="Y3" s="730"/>
      <c r="Z3" s="731"/>
      <c r="AA3" s="513"/>
    </row>
    <row r="4" spans="1:27" s="614" customFormat="1" ht="13.5" customHeight="1" thickBot="1">
      <c r="A4" s="4"/>
      <c r="B4" s="866"/>
      <c r="C4" s="867"/>
      <c r="D4" s="868"/>
      <c r="E4" s="655" t="str">
        <f>HYPERLINK(R4,Translations!$B$280)</f>
        <v>End of sheet</v>
      </c>
      <c r="F4" s="655"/>
      <c r="G4" s="711"/>
      <c r="H4" s="712"/>
      <c r="I4" s="713"/>
      <c r="J4" s="712"/>
      <c r="K4" s="713"/>
      <c r="L4" s="712"/>
      <c r="M4" s="713"/>
      <c r="N4" s="712"/>
      <c r="O4" s="9"/>
      <c r="P4" s="9"/>
      <c r="Q4" s="531"/>
      <c r="R4" s="592" t="str">
        <f>"#"&amp;ADDRESS(ROW(D67),COLUMN(D67))</f>
        <v>#$D$67</v>
      </c>
      <c r="S4" s="734"/>
      <c r="T4" s="735"/>
      <c r="U4" s="736"/>
      <c r="V4" s="735"/>
      <c r="W4" s="736"/>
      <c r="X4" s="735"/>
      <c r="Y4" s="736"/>
      <c r="Z4" s="737"/>
      <c r="AA4" s="513"/>
    </row>
    <row r="5" spans="1:27" s="614" customFormat="1" ht="12.75">
      <c r="A5" s="4"/>
      <c r="B5" s="5"/>
      <c r="C5" s="6"/>
      <c r="D5" s="7"/>
      <c r="E5" s="7"/>
      <c r="F5" s="8"/>
      <c r="G5" s="8"/>
      <c r="H5" s="8"/>
      <c r="I5" s="5"/>
      <c r="J5" s="5"/>
      <c r="K5" s="5"/>
      <c r="L5" s="5"/>
      <c r="M5" s="9"/>
      <c r="N5" s="9"/>
      <c r="O5" s="9"/>
      <c r="P5" s="9"/>
      <c r="Q5" s="531"/>
      <c r="R5" s="513"/>
      <c r="S5" s="513"/>
      <c r="T5" s="513"/>
      <c r="U5" s="513"/>
      <c r="V5" s="513"/>
      <c r="W5" s="513"/>
      <c r="X5" s="513"/>
      <c r="Y5" s="513"/>
      <c r="Z5" s="513"/>
      <c r="AA5" s="513"/>
    </row>
    <row r="6" spans="1:27" s="614" customFormat="1" ht="23.25" customHeight="1">
      <c r="A6" s="4"/>
      <c r="B6" s="5"/>
      <c r="C6" s="11" t="s">
        <v>1254</v>
      </c>
      <c r="D6" s="671" t="str">
        <f>Translations!$B$1578</f>
        <v>Sheet "Merger, Split and Transfer"</v>
      </c>
      <c r="E6" s="695"/>
      <c r="F6" s="695"/>
      <c r="G6" s="695"/>
      <c r="H6" s="695"/>
      <c r="I6" s="695"/>
      <c r="J6" s="695"/>
      <c r="K6" s="695"/>
      <c r="L6" s="695"/>
      <c r="M6" s="695"/>
      <c r="N6" s="695"/>
      <c r="O6" s="9"/>
      <c r="P6" s="9"/>
      <c r="Q6" s="532" t="s">
        <v>1200</v>
      </c>
      <c r="R6" s="532" t="s">
        <v>1200</v>
      </c>
      <c r="S6" s="532" t="s">
        <v>1200</v>
      </c>
      <c r="T6" s="532" t="s">
        <v>1200</v>
      </c>
      <c r="U6" s="532" t="s">
        <v>1200</v>
      </c>
      <c r="V6" s="532" t="s">
        <v>1200</v>
      </c>
      <c r="W6" s="532" t="s">
        <v>1200</v>
      </c>
      <c r="X6" s="532" t="s">
        <v>1200</v>
      </c>
      <c r="Y6" s="532" t="s">
        <v>1200</v>
      </c>
      <c r="Z6" s="532" t="s">
        <v>1200</v>
      </c>
      <c r="AA6" s="513"/>
    </row>
    <row r="7" spans="1:27" s="614" customFormat="1" ht="12.75" customHeight="1">
      <c r="A7" s="4"/>
      <c r="B7" s="5"/>
      <c r="C7" s="7"/>
      <c r="D7" s="5"/>
      <c r="E7" s="5"/>
      <c r="F7" s="5"/>
      <c r="G7" s="5"/>
      <c r="H7" s="5"/>
      <c r="I7" s="5"/>
      <c r="J7" s="5"/>
      <c r="K7" s="5"/>
      <c r="L7" s="5"/>
      <c r="M7" s="9"/>
      <c r="N7" s="9"/>
      <c r="O7" s="366"/>
      <c r="P7" s="9"/>
      <c r="Q7" s="531"/>
      <c r="R7" s="546"/>
      <c r="S7" s="513"/>
      <c r="T7" s="513"/>
      <c r="U7" s="513"/>
      <c r="V7" s="513"/>
      <c r="W7" s="513"/>
      <c r="X7" s="513"/>
      <c r="Y7" s="513"/>
      <c r="Z7" s="513"/>
      <c r="AA7" s="513"/>
    </row>
    <row r="8" spans="1:27" s="616" customFormat="1" ht="18" customHeight="1">
      <c r="A8" s="428"/>
      <c r="B8" s="215"/>
      <c r="C8" s="367" t="s">
        <v>414</v>
      </c>
      <c r="D8" s="384" t="str">
        <f>Translations!$B$1579</f>
        <v>Transfer of allowances, capacity and activity level</v>
      </c>
      <c r="E8" s="384"/>
      <c r="F8" s="384"/>
      <c r="G8" s="384"/>
      <c r="H8" s="384"/>
      <c r="I8" s="384"/>
      <c r="J8" s="384"/>
      <c r="K8" s="384"/>
      <c r="L8" s="384"/>
      <c r="M8" s="384"/>
      <c r="N8" s="384"/>
      <c r="O8" s="216"/>
      <c r="P8" s="216"/>
      <c r="Q8" s="419" t="s">
        <v>1200</v>
      </c>
      <c r="R8" s="419" t="s">
        <v>1200</v>
      </c>
      <c r="S8" s="419" t="s">
        <v>1200</v>
      </c>
      <c r="T8" s="419" t="s">
        <v>1200</v>
      </c>
      <c r="U8" s="419" t="s">
        <v>1200</v>
      </c>
      <c r="V8" s="419" t="s">
        <v>1200</v>
      </c>
      <c r="W8" s="419" t="s">
        <v>1200</v>
      </c>
      <c r="X8" s="419" t="s">
        <v>1200</v>
      </c>
      <c r="Y8" s="419" t="s">
        <v>1200</v>
      </c>
      <c r="Z8" s="419" t="s">
        <v>1200</v>
      </c>
      <c r="AA8" s="419"/>
    </row>
    <row r="9" spans="1:27" s="614" customFormat="1" ht="12.75" customHeight="1">
      <c r="A9" s="4"/>
      <c r="B9" s="5"/>
      <c r="C9" s="5"/>
      <c r="D9" s="5"/>
      <c r="E9" s="5"/>
      <c r="F9" s="5"/>
      <c r="G9" s="5"/>
      <c r="H9" s="5"/>
      <c r="I9" s="5"/>
      <c r="J9" s="5"/>
      <c r="K9" s="5"/>
      <c r="L9" s="5"/>
      <c r="M9" s="9"/>
      <c r="N9" s="9"/>
      <c r="O9" s="9"/>
      <c r="P9" s="9"/>
      <c r="Q9" s="531"/>
      <c r="R9" s="513"/>
      <c r="S9" s="513"/>
      <c r="T9" s="513"/>
      <c r="U9" s="513"/>
      <c r="V9" s="513"/>
      <c r="W9" s="513"/>
      <c r="X9" s="513"/>
      <c r="Y9" s="513"/>
      <c r="Z9" s="513"/>
      <c r="AA9" s="513"/>
    </row>
    <row r="10" spans="1:27" s="617" customFormat="1" ht="18" customHeight="1">
      <c r="A10" s="214"/>
      <c r="B10" s="385"/>
      <c r="C10" s="391">
        <v>1</v>
      </c>
      <c r="D10" s="894" t="str">
        <f>Translations!$B$1497&amp;" "&amp;C10</f>
        <v>Transfer from installation 1</v>
      </c>
      <c r="E10" s="912"/>
      <c r="F10" s="912"/>
      <c r="G10" s="912"/>
      <c r="H10" s="912"/>
      <c r="I10" s="912"/>
      <c r="J10" s="912"/>
      <c r="K10" s="912"/>
      <c r="L10" s="912"/>
      <c r="M10" s="912"/>
      <c r="N10" s="912"/>
      <c r="O10" s="385"/>
      <c r="P10" s="385"/>
      <c r="Q10" s="536"/>
      <c r="R10" s="536"/>
      <c r="S10" s="536"/>
      <c r="T10" s="536"/>
      <c r="U10" s="536"/>
      <c r="V10" s="536"/>
      <c r="W10" s="536"/>
      <c r="X10" s="536"/>
      <c r="Y10" s="536"/>
      <c r="Z10" s="536"/>
      <c r="AA10" s="536"/>
    </row>
    <row r="11" spans="1:27" s="614" customFormat="1" ht="4.5" customHeight="1">
      <c r="A11" s="4"/>
      <c r="B11" s="20"/>
      <c r="C11" s="18"/>
      <c r="D11" s="7"/>
      <c r="E11" s="7"/>
      <c r="F11" s="7"/>
      <c r="G11" s="7"/>
      <c r="H11" s="7"/>
      <c r="I11" s="7"/>
      <c r="J11" s="7"/>
      <c r="K11" s="7"/>
      <c r="L11" s="7"/>
      <c r="M11" s="7"/>
      <c r="N11" s="7"/>
      <c r="O11" s="7"/>
      <c r="P11" s="20"/>
      <c r="Q11" s="513"/>
      <c r="R11" s="513"/>
      <c r="S11" s="513"/>
      <c r="T11" s="513"/>
      <c r="U11" s="513"/>
      <c r="V11" s="513"/>
      <c r="W11" s="513"/>
      <c r="X11" s="513"/>
      <c r="Y11" s="513"/>
      <c r="Z11" s="513"/>
      <c r="AA11" s="513"/>
    </row>
    <row r="12" spans="1:27" s="614" customFormat="1" ht="15">
      <c r="A12" s="4"/>
      <c r="B12" s="20"/>
      <c r="C12" s="18"/>
      <c r="D12" s="750" t="str">
        <f>Translations!$B$1580</f>
        <v>Please enter here the share of allowances, capacity and activity level transferred from the first installation.</v>
      </c>
      <c r="E12" s="695"/>
      <c r="F12" s="695"/>
      <c r="G12" s="695"/>
      <c r="H12" s="695"/>
      <c r="I12" s="695"/>
      <c r="J12" s="695"/>
      <c r="K12" s="695"/>
      <c r="L12" s="695"/>
      <c r="M12" s="695"/>
      <c r="N12" s="7"/>
      <c r="O12" s="7"/>
      <c r="P12" s="20"/>
      <c r="Q12" s="513"/>
      <c r="R12" s="513"/>
      <c r="S12" s="513"/>
      <c r="T12" s="513"/>
      <c r="U12" s="513"/>
      <c r="V12" s="513"/>
      <c r="W12" s="513"/>
      <c r="X12" s="513"/>
      <c r="Y12" s="513"/>
      <c r="Z12" s="513"/>
      <c r="AA12" s="513"/>
    </row>
    <row r="13" spans="1:27" s="614" customFormat="1" ht="4.5" customHeight="1">
      <c r="A13" s="4"/>
      <c r="B13" s="20"/>
      <c r="C13" s="18"/>
      <c r="D13" s="7"/>
      <c r="E13" s="7"/>
      <c r="F13" s="7"/>
      <c r="G13" s="7"/>
      <c r="H13" s="7"/>
      <c r="I13" s="7"/>
      <c r="J13" s="7"/>
      <c r="K13" s="7"/>
      <c r="L13" s="7"/>
      <c r="M13" s="7"/>
      <c r="N13" s="7"/>
      <c r="O13" s="7"/>
      <c r="P13" s="20"/>
      <c r="Q13" s="513"/>
      <c r="R13" s="513"/>
      <c r="S13" s="513"/>
      <c r="T13" s="513"/>
      <c r="U13" s="513"/>
      <c r="V13" s="513"/>
      <c r="W13" s="513"/>
      <c r="X13" s="513"/>
      <c r="Y13" s="513"/>
      <c r="Z13" s="513"/>
      <c r="AA13" s="513"/>
    </row>
    <row r="14" spans="1:27" s="614" customFormat="1" ht="13.5" thickBot="1">
      <c r="A14" s="4"/>
      <c r="B14" s="20"/>
      <c r="C14" s="7"/>
      <c r="D14" s="7"/>
      <c r="E14" s="7"/>
      <c r="F14" s="7"/>
      <c r="G14" s="7"/>
      <c r="H14" s="445" t="str">
        <f>Translations!$B$1581</f>
        <v>from:</v>
      </c>
      <c r="I14" s="7"/>
      <c r="J14" s="7"/>
      <c r="K14" s="7"/>
      <c r="L14" s="7"/>
      <c r="M14" s="7"/>
      <c r="N14" s="20"/>
      <c r="O14" s="3"/>
      <c r="P14" s="20"/>
      <c r="Q14" s="513"/>
      <c r="R14" s="513"/>
      <c r="S14" s="513"/>
      <c r="T14" s="513"/>
      <c r="U14" s="513"/>
      <c r="V14" s="513"/>
      <c r="W14" s="513"/>
      <c r="X14" s="513"/>
      <c r="Y14" s="513"/>
      <c r="Z14" s="513"/>
      <c r="AA14" s="513"/>
    </row>
    <row r="15" spans="1:27" s="617" customFormat="1" ht="25.5" customHeight="1" thickBot="1">
      <c r="A15" s="214"/>
      <c r="B15" s="215"/>
      <c r="C15" s="387"/>
      <c r="D15" s="215"/>
      <c r="E15" s="7"/>
      <c r="F15" s="7"/>
      <c r="G15" s="7"/>
      <c r="H15" s="919">
        <f>INDEX(A_InstallationData!$J$188:$J$254,MATCH(C10,A_InstallationData!$R$188:$R$254,0))</f>
      </c>
      <c r="I15" s="920"/>
      <c r="J15" s="921"/>
      <c r="K15" s="7"/>
      <c r="L15" s="7"/>
      <c r="M15" s="7"/>
      <c r="N15" s="392"/>
      <c r="O15" s="9"/>
      <c r="P15" s="9"/>
      <c r="Q15" s="549">
        <f>C10</f>
        <v>1</v>
      </c>
      <c r="R15" s="536"/>
      <c r="S15" s="536"/>
      <c r="T15" s="536"/>
      <c r="U15" s="536"/>
      <c r="V15" s="536"/>
      <c r="W15" s="536"/>
      <c r="X15" s="536"/>
      <c r="Y15" s="536"/>
      <c r="Z15" s="535" t="b">
        <f>H15=""</f>
        <v>1</v>
      </c>
      <c r="AA15" s="536"/>
    </row>
    <row r="16" spans="1:27" s="614" customFormat="1" ht="4.5" customHeight="1">
      <c r="A16" s="4"/>
      <c r="B16" s="5"/>
      <c r="C16" s="7"/>
      <c r="D16" s="5"/>
      <c r="E16" s="5"/>
      <c r="F16" s="5"/>
      <c r="G16" s="7"/>
      <c r="H16" s="5"/>
      <c r="I16" s="376"/>
      <c r="J16" s="5"/>
      <c r="K16" s="5"/>
      <c r="L16" s="5"/>
      <c r="M16" s="9"/>
      <c r="N16" s="366"/>
      <c r="O16" s="9"/>
      <c r="P16" s="9"/>
      <c r="Q16" s="531"/>
      <c r="R16" s="513"/>
      <c r="S16" s="513"/>
      <c r="T16" s="513"/>
      <c r="U16" s="513"/>
      <c r="V16" s="513"/>
      <c r="W16" s="513"/>
      <c r="X16" s="513"/>
      <c r="Y16" s="513"/>
      <c r="Z16" s="513"/>
      <c r="AA16" s="513"/>
    </row>
    <row r="17" spans="1:27" s="614" customFormat="1" ht="12.75" customHeight="1" thickBot="1">
      <c r="A17" s="4"/>
      <c r="B17" s="5"/>
      <c r="C17" s="7"/>
      <c r="D17" s="5"/>
      <c r="E17" s="5"/>
      <c r="F17" s="5"/>
      <c r="G17" s="7"/>
      <c r="H17" s="506" t="str">
        <f>Translations!$B$1582</f>
        <v>to:</v>
      </c>
      <c r="I17" s="507"/>
      <c r="J17" s="44"/>
      <c r="K17" s="506" t="str">
        <f>Translations!$B$1582</f>
        <v>to:</v>
      </c>
      <c r="L17" s="7"/>
      <c r="M17" s="7"/>
      <c r="N17" s="366"/>
      <c r="O17" s="9"/>
      <c r="P17" s="9"/>
      <c r="Q17" s="531"/>
      <c r="R17" s="513"/>
      <c r="S17" s="513"/>
      <c r="T17" s="513"/>
      <c r="U17" s="513"/>
      <c r="V17" s="513"/>
      <c r="W17" s="513"/>
      <c r="X17" s="513"/>
      <c r="Y17" s="513"/>
      <c r="Z17" s="513"/>
      <c r="AA17" s="513"/>
    </row>
    <row r="18" spans="1:27" s="614" customFormat="1" ht="25.5" customHeight="1" thickBot="1">
      <c r="A18" s="4"/>
      <c r="B18" s="5"/>
      <c r="C18" s="5"/>
      <c r="D18" s="5"/>
      <c r="E18" s="5"/>
      <c r="F18" s="5"/>
      <c r="G18" s="7"/>
      <c r="H18" s="919">
        <f>IF($H15="","",INDEX(A_InstallationData!$J$188:$J$254,MATCH(R18,A_InstallationData!$R$188:$R$254,0)))</f>
      </c>
      <c r="I18" s="920"/>
      <c r="J18" s="921"/>
      <c r="K18" s="919">
        <f>IF($H15="","",INDEX(A_InstallationData!$J$188:$J$254,MATCH(U18,A_InstallationData!$R$188:$R$254,0)))</f>
      </c>
      <c r="L18" s="920"/>
      <c r="M18" s="921"/>
      <c r="N18" s="9"/>
      <c r="O18" s="9"/>
      <c r="P18" s="9"/>
      <c r="Q18" s="531"/>
      <c r="R18" s="586">
        <v>3</v>
      </c>
      <c r="S18" s="513"/>
      <c r="T18" s="513"/>
      <c r="U18" s="586">
        <v>4</v>
      </c>
      <c r="V18" s="540" t="s">
        <v>1968</v>
      </c>
      <c r="W18" s="513"/>
      <c r="X18" s="513"/>
      <c r="Y18" s="513"/>
      <c r="Z18" s="513"/>
      <c r="AA18" s="513"/>
    </row>
    <row r="19" spans="1:27" s="614" customFormat="1" ht="38.25" customHeight="1" thickBot="1">
      <c r="A19" s="4"/>
      <c r="B19" s="5"/>
      <c r="C19" s="22"/>
      <c r="D19" s="922" t="str">
        <f>Translations!$B$440</f>
        <v>Sub-installation</v>
      </c>
      <c r="E19" s="923"/>
      <c r="F19" s="923"/>
      <c r="G19" s="378"/>
      <c r="H19" s="508" t="str">
        <f>Translations!$B$1583</f>
        <v>Share</v>
      </c>
      <c r="I19" s="404" t="str">
        <f>Translations!$B$1584</f>
        <v>Installed capacity</v>
      </c>
      <c r="J19" s="510" t="str">
        <f>Translations!$B$1585</f>
        <v>Annual activity level</v>
      </c>
      <c r="K19" s="511" t="str">
        <f>Translations!$B$1583</f>
        <v>Share</v>
      </c>
      <c r="L19" s="69" t="str">
        <f>Translations!$B$1584</f>
        <v>Installed capacity</v>
      </c>
      <c r="M19" s="512" t="str">
        <f>Translations!$B$1585</f>
        <v>Annual activity level</v>
      </c>
      <c r="N19" s="629" t="str">
        <f>Translations!$B$1103</f>
        <v>error message</v>
      </c>
      <c r="O19" s="9"/>
      <c r="P19" s="9"/>
      <c r="Q19" s="531"/>
      <c r="R19" s="513"/>
      <c r="S19" s="513"/>
      <c r="T19" s="513"/>
      <c r="U19" s="513"/>
      <c r="V19" s="540"/>
      <c r="W19" s="513"/>
      <c r="X19" s="513"/>
      <c r="Y19" s="513"/>
      <c r="Z19" s="538" t="s">
        <v>1034</v>
      </c>
      <c r="AA19" s="513"/>
    </row>
    <row r="20" spans="1:27" s="614" customFormat="1" ht="12.75" customHeight="1" thickBot="1">
      <c r="A20" s="4"/>
      <c r="B20" s="5"/>
      <c r="C20" s="509">
        <v>0</v>
      </c>
      <c r="D20" s="924" t="str">
        <f>Translations!$B$1447</f>
        <v>Phase before start</v>
      </c>
      <c r="E20" s="925"/>
      <c r="F20" s="925"/>
      <c r="G20" s="926"/>
      <c r="H20" s="552"/>
      <c r="I20" s="553"/>
      <c r="J20" s="554"/>
      <c r="K20" s="555">
        <f aca="true" t="shared" si="0" ref="K20:K37">IF(H20="","",1-H20)</f>
      </c>
      <c r="L20" s="556"/>
      <c r="M20" s="557"/>
      <c r="N20" s="558">
        <f aca="true" t="shared" si="1" ref="N20:N37">IF(AND($Z20=TRUE,H20=""),EUconst_Incomplete,IF(H20&gt;1,EUconst_Inconsistent,""))</f>
      </c>
      <c r="O20" s="9"/>
      <c r="P20" s="572"/>
      <c r="Q20" s="531"/>
      <c r="R20" s="513"/>
      <c r="S20" s="513"/>
      <c r="T20" s="542" t="str">
        <f aca="true" t="shared" si="2" ref="T20:T37">EUconst_CNTR_Finitial&amp;$V20&amp;"_"&amp;$D20</f>
        <v>FInitial_1_Phase before start</v>
      </c>
      <c r="U20" s="513"/>
      <c r="V20" s="543">
        <f>C10</f>
        <v>1</v>
      </c>
      <c r="W20" s="513"/>
      <c r="X20" s="513"/>
      <c r="Y20" s="513"/>
      <c r="Z20" s="539" t="b">
        <f>INDEX(B_InitialSituation!$X$9:$X$156,MATCH($T20,B_InitialSituation!$Q$9:$Q$156,0))</f>
        <v>0</v>
      </c>
      <c r="AA20" s="513"/>
    </row>
    <row r="21" spans="1:27" s="614" customFormat="1" ht="12.75" customHeight="1">
      <c r="A21" s="4"/>
      <c r="B21" s="5"/>
      <c r="C21" s="32">
        <v>1</v>
      </c>
      <c r="D21" s="913">
        <f>INDEX(B_InitialSituation!$D$9:$D$156,MATCH($S21,B_InitialSituation!$S$9:$S$156,0))</f>
      </c>
      <c r="E21" s="914"/>
      <c r="F21" s="914"/>
      <c r="G21" s="915"/>
      <c r="H21" s="559"/>
      <c r="I21" s="579">
        <f>IF(H21="","",H21*INDEX(B_InitialSituation!$I$9:$I$156,MATCH($Q21,B_InitialSituation!$Q$9:$Q$156,0)))</f>
      </c>
      <c r="J21" s="579">
        <f>IF(H21="","",H21*INDEX(B_InitialSituation!$J$9:$J$156,MATCH($R21,B_InitialSituation!$R$9:$R$156,0)))</f>
      </c>
      <c r="K21" s="560">
        <f t="shared" si="0"/>
      </c>
      <c r="L21" s="579">
        <f>IF(K21="","",K21*INDEX(B_InitialSituation!$I$9:$I$156,MATCH($Q21,B_InitialSituation!$Q$9:$Q$156,0)))</f>
      </c>
      <c r="M21" s="579">
        <f>IF(K21="","",K21*INDEX(B_InitialSituation!$J$9:$J$156,MATCH($R21,B_InitialSituation!$R$9:$R$156,0)))</f>
      </c>
      <c r="N21" s="561">
        <f t="shared" si="1"/>
      </c>
      <c r="O21" s="9"/>
      <c r="P21" s="9"/>
      <c r="Q21" s="542" t="str">
        <f aca="true" t="shared" si="3" ref="Q21:Q36">EUconst_CNTR_CAPINI&amp;$V21&amp;"_"&amp;$D21</f>
        <v>CAPINI_1_</v>
      </c>
      <c r="R21" s="542" t="str">
        <f aca="true" t="shared" si="4" ref="R21:R36">EUconst_CNTR_HAL&amp;$V21&amp;"_"&amp;$D21</f>
        <v>HAL_1_</v>
      </c>
      <c r="S21" s="542" t="str">
        <f aca="true" t="shared" si="5" ref="S21:S36">EUconst_CNTR_HAL&amp;$V21&amp;"_"&amp;$C21</f>
        <v>HAL_1_1</v>
      </c>
      <c r="T21" s="542" t="str">
        <f t="shared" si="2"/>
        <v>FInitial_1_</v>
      </c>
      <c r="U21" s="542" t="str">
        <f aca="true" t="shared" si="6" ref="U21:U36">EUconst_CNTR_CAPINI&amp;$D21</f>
        <v>CAPINI_</v>
      </c>
      <c r="V21" s="544">
        <f aca="true" t="shared" si="7" ref="V21:V37">V20</f>
        <v>1</v>
      </c>
      <c r="W21" s="513"/>
      <c r="X21" s="513"/>
      <c r="Y21" s="513"/>
      <c r="Z21" s="539" t="b">
        <f>INDEX(B_InitialSituation!$X$9:$X$156,MATCH($T21,B_InitialSituation!$Q$9:$Q$156,0))</f>
        <v>0</v>
      </c>
      <c r="AA21" s="513"/>
    </row>
    <row r="22" spans="1:27" s="614" customFormat="1" ht="12.75" customHeight="1">
      <c r="A22" s="4"/>
      <c r="B22" s="5"/>
      <c r="C22" s="32">
        <v>2</v>
      </c>
      <c r="D22" s="916">
        <f>INDEX(B_InitialSituation!$D$9:$D$156,MATCH($S22,B_InitialSituation!$S$9:$S$156,0))</f>
      </c>
      <c r="E22" s="917"/>
      <c r="F22" s="917"/>
      <c r="G22" s="918"/>
      <c r="H22" s="562"/>
      <c r="I22" s="580">
        <f>IF(H22="","",H22*INDEX(B_InitialSituation!$I$9:$I$156,MATCH($Q22,B_InitialSituation!$Q$9:$Q$156,0)))</f>
      </c>
      <c r="J22" s="580">
        <f>IF(H22="","",H22*INDEX(B_InitialSituation!$J$9:$J$156,MATCH($R22,B_InitialSituation!$R$9:$R$156,0)))</f>
      </c>
      <c r="K22" s="563">
        <f t="shared" si="0"/>
      </c>
      <c r="L22" s="580">
        <f>IF(K22="","",K22*INDEX(B_InitialSituation!$I$9:$I$156,MATCH($Q22,B_InitialSituation!$Q$9:$Q$156,0)))</f>
      </c>
      <c r="M22" s="580">
        <f>IF(K22="","",K22*INDEX(B_InitialSituation!$J$9:$J$156,MATCH($R22,B_InitialSituation!$R$9:$R$156,0)))</f>
      </c>
      <c r="N22" s="564">
        <f t="shared" si="1"/>
      </c>
      <c r="O22" s="9"/>
      <c r="P22" s="9"/>
      <c r="Q22" s="542" t="str">
        <f t="shared" si="3"/>
        <v>CAPINI_1_</v>
      </c>
      <c r="R22" s="542" t="str">
        <f t="shared" si="4"/>
        <v>HAL_1_</v>
      </c>
      <c r="S22" s="542" t="str">
        <f t="shared" si="5"/>
        <v>HAL_1_2</v>
      </c>
      <c r="T22" s="542" t="str">
        <f t="shared" si="2"/>
        <v>FInitial_1_</v>
      </c>
      <c r="U22" s="542" t="str">
        <f t="shared" si="6"/>
        <v>CAPINI_</v>
      </c>
      <c r="V22" s="544">
        <f t="shared" si="7"/>
        <v>1</v>
      </c>
      <c r="W22" s="513"/>
      <c r="X22" s="513"/>
      <c r="Y22" s="513"/>
      <c r="Z22" s="539" t="b">
        <f>INDEX(B_InitialSituation!$X$9:$X$156,MATCH($T22,B_InitialSituation!$Q$9:$Q$156,0))</f>
        <v>0</v>
      </c>
      <c r="AA22" s="513"/>
    </row>
    <row r="23" spans="1:27" s="614" customFormat="1" ht="12.75" customHeight="1">
      <c r="A23" s="4"/>
      <c r="B23" s="5"/>
      <c r="C23" s="32">
        <v>3</v>
      </c>
      <c r="D23" s="916">
        <f>INDEX(B_InitialSituation!$D$9:$D$156,MATCH($S23,B_InitialSituation!$S$9:$S$156,0))</f>
      </c>
      <c r="E23" s="917"/>
      <c r="F23" s="917"/>
      <c r="G23" s="918"/>
      <c r="H23" s="562"/>
      <c r="I23" s="580">
        <f>IF(H23="","",H23*INDEX(B_InitialSituation!$I$9:$I$156,MATCH($Q23,B_InitialSituation!$Q$9:$Q$156,0)))</f>
      </c>
      <c r="J23" s="580">
        <f>IF(H23="","",H23*INDEX(B_InitialSituation!$J$9:$J$156,MATCH($R23,B_InitialSituation!$R$9:$R$156,0)))</f>
      </c>
      <c r="K23" s="563">
        <f t="shared" si="0"/>
      </c>
      <c r="L23" s="580">
        <f>IF(K23="","",K23*INDEX(B_InitialSituation!$I$9:$I$156,MATCH($Q23,B_InitialSituation!$Q$9:$Q$156,0)))</f>
      </c>
      <c r="M23" s="580">
        <f>IF(K23="","",K23*INDEX(B_InitialSituation!$J$9:$J$156,MATCH($R23,B_InitialSituation!$R$9:$R$156,0)))</f>
      </c>
      <c r="N23" s="564">
        <f t="shared" si="1"/>
      </c>
      <c r="O23" s="9"/>
      <c r="P23" s="9"/>
      <c r="Q23" s="542" t="str">
        <f t="shared" si="3"/>
        <v>CAPINI_1_</v>
      </c>
      <c r="R23" s="542" t="str">
        <f t="shared" si="4"/>
        <v>HAL_1_</v>
      </c>
      <c r="S23" s="542" t="str">
        <f t="shared" si="5"/>
        <v>HAL_1_3</v>
      </c>
      <c r="T23" s="542" t="str">
        <f t="shared" si="2"/>
        <v>FInitial_1_</v>
      </c>
      <c r="U23" s="542" t="str">
        <f t="shared" si="6"/>
        <v>CAPINI_</v>
      </c>
      <c r="V23" s="544">
        <f t="shared" si="7"/>
        <v>1</v>
      </c>
      <c r="W23" s="513"/>
      <c r="X23" s="513"/>
      <c r="Y23" s="513"/>
      <c r="Z23" s="539" t="b">
        <f>INDEX(B_InitialSituation!$X$9:$X$156,MATCH($T23,B_InitialSituation!$Q$9:$Q$156,0))</f>
        <v>0</v>
      </c>
      <c r="AA23" s="513"/>
    </row>
    <row r="24" spans="1:27" s="614" customFormat="1" ht="12.75" customHeight="1">
      <c r="A24" s="4"/>
      <c r="B24" s="5"/>
      <c r="C24" s="32">
        <v>4</v>
      </c>
      <c r="D24" s="916">
        <f>INDEX(B_InitialSituation!$D$9:$D$156,MATCH($S24,B_InitialSituation!$S$9:$S$156,0))</f>
      </c>
      <c r="E24" s="917"/>
      <c r="F24" s="917"/>
      <c r="G24" s="918"/>
      <c r="H24" s="562"/>
      <c r="I24" s="580">
        <f>IF(H24="","",H24*INDEX(B_InitialSituation!$I$9:$I$156,MATCH($Q24,B_InitialSituation!$Q$9:$Q$156,0)))</f>
      </c>
      <c r="J24" s="580">
        <f>IF(H24="","",H24*INDEX(B_InitialSituation!$J$9:$J$156,MATCH($R24,B_InitialSituation!$R$9:$R$156,0)))</f>
      </c>
      <c r="K24" s="563">
        <f t="shared" si="0"/>
      </c>
      <c r="L24" s="580">
        <f>IF(K24="","",K24*INDEX(B_InitialSituation!$I$9:$I$156,MATCH($Q24,B_InitialSituation!$Q$9:$Q$156,0)))</f>
      </c>
      <c r="M24" s="580">
        <f>IF(K24="","",K24*INDEX(B_InitialSituation!$J$9:$J$156,MATCH($R24,B_InitialSituation!$R$9:$R$156,0)))</f>
      </c>
      <c r="N24" s="564">
        <f t="shared" si="1"/>
      </c>
      <c r="O24" s="9"/>
      <c r="P24" s="9"/>
      <c r="Q24" s="542" t="str">
        <f t="shared" si="3"/>
        <v>CAPINI_1_</v>
      </c>
      <c r="R24" s="542" t="str">
        <f t="shared" si="4"/>
        <v>HAL_1_</v>
      </c>
      <c r="S24" s="542" t="str">
        <f t="shared" si="5"/>
        <v>HAL_1_4</v>
      </c>
      <c r="T24" s="542" t="str">
        <f t="shared" si="2"/>
        <v>FInitial_1_</v>
      </c>
      <c r="U24" s="542" t="str">
        <f t="shared" si="6"/>
        <v>CAPINI_</v>
      </c>
      <c r="V24" s="544">
        <f t="shared" si="7"/>
        <v>1</v>
      </c>
      <c r="W24" s="513"/>
      <c r="X24" s="513"/>
      <c r="Y24" s="513"/>
      <c r="Z24" s="539" t="b">
        <f>INDEX(B_InitialSituation!$X$9:$X$156,MATCH($T24,B_InitialSituation!$Q$9:$Q$156,0))</f>
        <v>0</v>
      </c>
      <c r="AA24" s="513"/>
    </row>
    <row r="25" spans="1:27" s="614" customFormat="1" ht="12.75" customHeight="1">
      <c r="A25" s="4"/>
      <c r="B25" s="5"/>
      <c r="C25" s="32">
        <v>5</v>
      </c>
      <c r="D25" s="916">
        <f>INDEX(B_InitialSituation!$D$9:$D$156,MATCH($S25,B_InitialSituation!$S$9:$S$156,0))</f>
      </c>
      <c r="E25" s="917"/>
      <c r="F25" s="917"/>
      <c r="G25" s="918"/>
      <c r="H25" s="562"/>
      <c r="I25" s="580">
        <f>IF(H25="","",H25*INDEX(B_InitialSituation!$I$9:$I$156,MATCH($Q25,B_InitialSituation!$Q$9:$Q$156,0)))</f>
      </c>
      <c r="J25" s="580">
        <f>IF(H25="","",H25*INDEX(B_InitialSituation!$J$9:$J$156,MATCH($R25,B_InitialSituation!$R$9:$R$156,0)))</f>
      </c>
      <c r="K25" s="563">
        <f t="shared" si="0"/>
      </c>
      <c r="L25" s="580">
        <f>IF(K25="","",K25*INDEX(B_InitialSituation!$I$9:$I$156,MATCH($Q25,B_InitialSituation!$Q$9:$Q$156,0)))</f>
      </c>
      <c r="M25" s="580">
        <f>IF(K25="","",K25*INDEX(B_InitialSituation!$J$9:$J$156,MATCH($R25,B_InitialSituation!$R$9:$R$156,0)))</f>
      </c>
      <c r="N25" s="564">
        <f t="shared" si="1"/>
      </c>
      <c r="O25" s="9"/>
      <c r="P25" s="9"/>
      <c r="Q25" s="542" t="str">
        <f t="shared" si="3"/>
        <v>CAPINI_1_</v>
      </c>
      <c r="R25" s="542" t="str">
        <f t="shared" si="4"/>
        <v>HAL_1_</v>
      </c>
      <c r="S25" s="542" t="str">
        <f t="shared" si="5"/>
        <v>HAL_1_5</v>
      </c>
      <c r="T25" s="542" t="str">
        <f t="shared" si="2"/>
        <v>FInitial_1_</v>
      </c>
      <c r="U25" s="542" t="str">
        <f t="shared" si="6"/>
        <v>CAPINI_</v>
      </c>
      <c r="V25" s="544">
        <f t="shared" si="7"/>
        <v>1</v>
      </c>
      <c r="W25" s="513"/>
      <c r="X25" s="513"/>
      <c r="Y25" s="513"/>
      <c r="Z25" s="539" t="b">
        <f>INDEX(B_InitialSituation!$X$9:$X$156,MATCH($T25,B_InitialSituation!$Q$9:$Q$156,0))</f>
        <v>0</v>
      </c>
      <c r="AA25" s="513"/>
    </row>
    <row r="26" spans="1:27" s="614" customFormat="1" ht="12.75" customHeight="1">
      <c r="A26" s="4"/>
      <c r="B26" s="5"/>
      <c r="C26" s="32">
        <v>6</v>
      </c>
      <c r="D26" s="916">
        <f>INDEX(B_InitialSituation!$D$9:$D$156,MATCH($S26,B_InitialSituation!$S$9:$S$156,0))</f>
      </c>
      <c r="E26" s="917"/>
      <c r="F26" s="917"/>
      <c r="G26" s="918"/>
      <c r="H26" s="562"/>
      <c r="I26" s="580">
        <f>IF(H26="","",H26*INDEX(B_InitialSituation!$I$9:$I$156,MATCH($Q26,B_InitialSituation!$Q$9:$Q$156,0)))</f>
      </c>
      <c r="J26" s="580">
        <f>IF(H26="","",H26*INDEX(B_InitialSituation!$J$9:$J$156,MATCH($R26,B_InitialSituation!$R$9:$R$156,0)))</f>
      </c>
      <c r="K26" s="563">
        <f t="shared" si="0"/>
      </c>
      <c r="L26" s="580">
        <f>IF(K26="","",K26*INDEX(B_InitialSituation!$I$9:$I$156,MATCH($Q26,B_InitialSituation!$Q$9:$Q$156,0)))</f>
      </c>
      <c r="M26" s="580">
        <f>IF(K26="","",K26*INDEX(B_InitialSituation!$J$9:$J$156,MATCH($R26,B_InitialSituation!$R$9:$R$156,0)))</f>
      </c>
      <c r="N26" s="564">
        <f t="shared" si="1"/>
      </c>
      <c r="O26" s="9"/>
      <c r="P26" s="9"/>
      <c r="Q26" s="542" t="str">
        <f t="shared" si="3"/>
        <v>CAPINI_1_</v>
      </c>
      <c r="R26" s="542" t="str">
        <f t="shared" si="4"/>
        <v>HAL_1_</v>
      </c>
      <c r="S26" s="542" t="str">
        <f t="shared" si="5"/>
        <v>HAL_1_6</v>
      </c>
      <c r="T26" s="542" t="str">
        <f t="shared" si="2"/>
        <v>FInitial_1_</v>
      </c>
      <c r="U26" s="542" t="str">
        <f t="shared" si="6"/>
        <v>CAPINI_</v>
      </c>
      <c r="V26" s="544">
        <f t="shared" si="7"/>
        <v>1</v>
      </c>
      <c r="W26" s="513"/>
      <c r="X26" s="513"/>
      <c r="Y26" s="513"/>
      <c r="Z26" s="539" t="b">
        <f>INDEX(B_InitialSituation!$X$9:$X$156,MATCH($T26,B_InitialSituation!$Q$9:$Q$156,0))</f>
        <v>0</v>
      </c>
      <c r="AA26" s="513"/>
    </row>
    <row r="27" spans="1:27" s="614" customFormat="1" ht="12.75" customHeight="1">
      <c r="A27" s="4"/>
      <c r="B27" s="5"/>
      <c r="C27" s="32">
        <v>7</v>
      </c>
      <c r="D27" s="916">
        <f>INDEX(B_InitialSituation!$D$9:$D$156,MATCH($S27,B_InitialSituation!$S$9:$S$156,0))</f>
      </c>
      <c r="E27" s="917"/>
      <c r="F27" s="917"/>
      <c r="G27" s="918"/>
      <c r="H27" s="562"/>
      <c r="I27" s="580">
        <f>IF(H27="","",H27*INDEX(B_InitialSituation!$I$9:$I$156,MATCH($Q27,B_InitialSituation!$Q$9:$Q$156,0)))</f>
      </c>
      <c r="J27" s="580">
        <f>IF(H27="","",H27*INDEX(B_InitialSituation!$J$9:$J$156,MATCH($R27,B_InitialSituation!$R$9:$R$156,0)))</f>
      </c>
      <c r="K27" s="563">
        <f t="shared" si="0"/>
      </c>
      <c r="L27" s="580">
        <f>IF(K27="","",K27*INDEX(B_InitialSituation!$I$9:$I$156,MATCH($Q27,B_InitialSituation!$Q$9:$Q$156,0)))</f>
      </c>
      <c r="M27" s="580">
        <f>IF(K27="","",K27*INDEX(B_InitialSituation!$J$9:$J$156,MATCH($R27,B_InitialSituation!$R$9:$R$156,0)))</f>
      </c>
      <c r="N27" s="564">
        <f t="shared" si="1"/>
      </c>
      <c r="O27" s="9"/>
      <c r="P27" s="9"/>
      <c r="Q27" s="542" t="str">
        <f t="shared" si="3"/>
        <v>CAPINI_1_</v>
      </c>
      <c r="R27" s="542" t="str">
        <f t="shared" si="4"/>
        <v>HAL_1_</v>
      </c>
      <c r="S27" s="542" t="str">
        <f t="shared" si="5"/>
        <v>HAL_1_7</v>
      </c>
      <c r="T27" s="542" t="str">
        <f t="shared" si="2"/>
        <v>FInitial_1_</v>
      </c>
      <c r="U27" s="542" t="str">
        <f t="shared" si="6"/>
        <v>CAPINI_</v>
      </c>
      <c r="V27" s="544">
        <f t="shared" si="7"/>
        <v>1</v>
      </c>
      <c r="W27" s="513"/>
      <c r="X27" s="513"/>
      <c r="Y27" s="513"/>
      <c r="Z27" s="539" t="b">
        <f>INDEX(B_InitialSituation!$X$9:$X$156,MATCH($T27,B_InitialSituation!$Q$9:$Q$156,0))</f>
        <v>0</v>
      </c>
      <c r="AA27" s="513"/>
    </row>
    <row r="28" spans="1:27" s="614" customFormat="1" ht="12.75" customHeight="1">
      <c r="A28" s="4"/>
      <c r="B28" s="5"/>
      <c r="C28" s="32">
        <v>8</v>
      </c>
      <c r="D28" s="916">
        <f>INDEX(B_InitialSituation!$D$9:$D$156,MATCH($S28,B_InitialSituation!$S$9:$S$156,0))</f>
      </c>
      <c r="E28" s="917"/>
      <c r="F28" s="917"/>
      <c r="G28" s="918"/>
      <c r="H28" s="562"/>
      <c r="I28" s="580">
        <f>IF(H28="","",H28*INDEX(B_InitialSituation!$I$9:$I$156,MATCH($Q28,B_InitialSituation!$Q$9:$Q$156,0)))</f>
      </c>
      <c r="J28" s="580">
        <f>IF(H28="","",H28*INDEX(B_InitialSituation!$J$9:$J$156,MATCH($R28,B_InitialSituation!$R$9:$R$156,0)))</f>
      </c>
      <c r="K28" s="563">
        <f t="shared" si="0"/>
      </c>
      <c r="L28" s="580">
        <f>IF(K28="","",K28*INDEX(B_InitialSituation!$I$9:$I$156,MATCH($Q28,B_InitialSituation!$Q$9:$Q$156,0)))</f>
      </c>
      <c r="M28" s="580">
        <f>IF(K28="","",K28*INDEX(B_InitialSituation!$J$9:$J$156,MATCH($R28,B_InitialSituation!$R$9:$R$156,0)))</f>
      </c>
      <c r="N28" s="564">
        <f t="shared" si="1"/>
      </c>
      <c r="O28" s="9"/>
      <c r="P28" s="9"/>
      <c r="Q28" s="542" t="str">
        <f t="shared" si="3"/>
        <v>CAPINI_1_</v>
      </c>
      <c r="R28" s="542" t="str">
        <f t="shared" si="4"/>
        <v>HAL_1_</v>
      </c>
      <c r="S28" s="542" t="str">
        <f t="shared" si="5"/>
        <v>HAL_1_8</v>
      </c>
      <c r="T28" s="542" t="str">
        <f t="shared" si="2"/>
        <v>FInitial_1_</v>
      </c>
      <c r="U28" s="542" t="str">
        <f t="shared" si="6"/>
        <v>CAPINI_</v>
      </c>
      <c r="V28" s="544">
        <f t="shared" si="7"/>
        <v>1</v>
      </c>
      <c r="W28" s="513"/>
      <c r="X28" s="513"/>
      <c r="Y28" s="513"/>
      <c r="Z28" s="539" t="b">
        <f>INDEX(B_InitialSituation!$X$9:$X$156,MATCH($T28,B_InitialSituation!$Q$9:$Q$156,0))</f>
        <v>0</v>
      </c>
      <c r="AA28" s="513"/>
    </row>
    <row r="29" spans="1:27" s="614" customFormat="1" ht="12.75" customHeight="1">
      <c r="A29" s="4"/>
      <c r="B29" s="5"/>
      <c r="C29" s="32">
        <v>9</v>
      </c>
      <c r="D29" s="916">
        <f>INDEX(B_InitialSituation!$D$9:$D$156,MATCH($S29,B_InitialSituation!$S$9:$S$156,0))</f>
      </c>
      <c r="E29" s="917"/>
      <c r="F29" s="917"/>
      <c r="G29" s="918"/>
      <c r="H29" s="562"/>
      <c r="I29" s="580">
        <f>IF(H29="","",H29*INDEX(B_InitialSituation!$I$9:$I$156,MATCH($Q29,B_InitialSituation!$Q$9:$Q$156,0)))</f>
      </c>
      <c r="J29" s="580">
        <f>IF(H29="","",H29*INDEX(B_InitialSituation!$J$9:$J$156,MATCH($R29,B_InitialSituation!$R$9:$R$156,0)))</f>
      </c>
      <c r="K29" s="563">
        <f t="shared" si="0"/>
      </c>
      <c r="L29" s="580">
        <f>IF(K29="","",K29*INDEX(B_InitialSituation!$I$9:$I$156,MATCH($Q29,B_InitialSituation!$Q$9:$Q$156,0)))</f>
      </c>
      <c r="M29" s="580">
        <f>IF(K29="","",K29*INDEX(B_InitialSituation!$J$9:$J$156,MATCH($R29,B_InitialSituation!$R$9:$R$156,0)))</f>
      </c>
      <c r="N29" s="564">
        <f t="shared" si="1"/>
      </c>
      <c r="O29" s="9"/>
      <c r="P29" s="9"/>
      <c r="Q29" s="542" t="str">
        <f t="shared" si="3"/>
        <v>CAPINI_1_</v>
      </c>
      <c r="R29" s="542" t="str">
        <f t="shared" si="4"/>
        <v>HAL_1_</v>
      </c>
      <c r="S29" s="542" t="str">
        <f t="shared" si="5"/>
        <v>HAL_1_9</v>
      </c>
      <c r="T29" s="542" t="str">
        <f t="shared" si="2"/>
        <v>FInitial_1_</v>
      </c>
      <c r="U29" s="542" t="str">
        <f t="shared" si="6"/>
        <v>CAPINI_</v>
      </c>
      <c r="V29" s="544">
        <f t="shared" si="7"/>
        <v>1</v>
      </c>
      <c r="W29" s="513"/>
      <c r="X29" s="513"/>
      <c r="Y29" s="513"/>
      <c r="Z29" s="539" t="b">
        <f>INDEX(B_InitialSituation!$X$9:$X$156,MATCH($T29,B_InitialSituation!$Q$9:$Q$156,0))</f>
        <v>0</v>
      </c>
      <c r="AA29" s="513"/>
    </row>
    <row r="30" spans="1:27" s="614" customFormat="1" ht="12.75" customHeight="1">
      <c r="A30" s="4"/>
      <c r="B30" s="5"/>
      <c r="C30" s="28">
        <v>10</v>
      </c>
      <c r="D30" s="936">
        <f>INDEX(B_InitialSituation!$D$9:$D$156,MATCH($S30,B_InitialSituation!$S$9:$S$156,0))</f>
      </c>
      <c r="E30" s="937"/>
      <c r="F30" s="937"/>
      <c r="G30" s="938"/>
      <c r="H30" s="565"/>
      <c r="I30" s="581">
        <f>IF(H30="","",H30*INDEX(B_InitialSituation!$I$9:$I$156,MATCH($Q30,B_InitialSituation!$Q$9:$Q$156,0)))</f>
      </c>
      <c r="J30" s="581">
        <f>IF(H30="","",H30*INDEX(B_InitialSituation!$J$9:$J$156,MATCH($R30,B_InitialSituation!$R$9:$R$156,0)))</f>
      </c>
      <c r="K30" s="566">
        <f t="shared" si="0"/>
      </c>
      <c r="L30" s="581">
        <f>IF(K30="","",K30*INDEX(B_InitialSituation!$I$9:$I$156,MATCH($Q30,B_InitialSituation!$Q$9:$Q$156,0)))</f>
      </c>
      <c r="M30" s="581">
        <f>IF(K30="","",K30*INDEX(B_InitialSituation!$J$9:$J$156,MATCH($R30,B_InitialSituation!$R$9:$R$156,0)))</f>
      </c>
      <c r="N30" s="567">
        <f t="shared" si="1"/>
      </c>
      <c r="O30" s="9"/>
      <c r="P30" s="9"/>
      <c r="Q30" s="542" t="str">
        <f t="shared" si="3"/>
        <v>CAPINI_1_</v>
      </c>
      <c r="R30" s="542" t="str">
        <f t="shared" si="4"/>
        <v>HAL_1_</v>
      </c>
      <c r="S30" s="542" t="str">
        <f t="shared" si="5"/>
        <v>HAL_1_10</v>
      </c>
      <c r="T30" s="542" t="str">
        <f t="shared" si="2"/>
        <v>FInitial_1_</v>
      </c>
      <c r="U30" s="542" t="str">
        <f t="shared" si="6"/>
        <v>CAPINI_</v>
      </c>
      <c r="V30" s="544">
        <f t="shared" si="7"/>
        <v>1</v>
      </c>
      <c r="W30" s="513"/>
      <c r="X30" s="513"/>
      <c r="Y30" s="513"/>
      <c r="Z30" s="539" t="b">
        <f>INDEX(B_InitialSituation!$X$9:$X$156,MATCH($T30,B_InitialSituation!$Q$9:$Q$156,0))</f>
        <v>0</v>
      </c>
      <c r="AA30" s="513"/>
    </row>
    <row r="31" spans="1:27" s="614" customFormat="1" ht="12.75" customHeight="1">
      <c r="A31" s="4"/>
      <c r="B31" s="5"/>
      <c r="C31" s="32">
        <v>11</v>
      </c>
      <c r="D31" s="933" t="str">
        <f aca="true" t="shared" si="8" ref="D31:D36">INDEX(EUconst_FallBackListNames,C31-10)</f>
        <v>Heat benchmark sub-installation, CL</v>
      </c>
      <c r="E31" s="934"/>
      <c r="F31" s="934"/>
      <c r="G31" s="935"/>
      <c r="H31" s="559"/>
      <c r="I31" s="582">
        <f>IF(H31="","",H31*INDEX(B_InitialSituation!$I$9:$I$156,MATCH($Q31,B_InitialSituation!$Q$9:$Q$156,0)))</f>
      </c>
      <c r="J31" s="582">
        <f>IF(H31="","",H31*INDEX(B_InitialSituation!$J$9:$J$156,MATCH($R31,B_InitialSituation!$R$9:$R$156,0)))</f>
      </c>
      <c r="K31" s="560">
        <f t="shared" si="0"/>
      </c>
      <c r="L31" s="582">
        <f>IF(K31="","",K31*INDEX(B_InitialSituation!$I$9:$I$156,MATCH($Q31,B_InitialSituation!$Q$9:$Q$156,0)))</f>
      </c>
      <c r="M31" s="582">
        <f>IF(K31="","",K31*INDEX(B_InitialSituation!$J$9:$J$156,MATCH($R31,B_InitialSituation!$R$9:$R$156,0)))</f>
      </c>
      <c r="N31" s="561">
        <f t="shared" si="1"/>
      </c>
      <c r="O31" s="9"/>
      <c r="P31" s="9"/>
      <c r="Q31" s="542" t="str">
        <f t="shared" si="3"/>
        <v>CAPINI_1_Heat benchmark sub-installation, CL</v>
      </c>
      <c r="R31" s="542" t="str">
        <f t="shared" si="4"/>
        <v>HAL_1_Heat benchmark sub-installation, CL</v>
      </c>
      <c r="S31" s="542" t="str">
        <f t="shared" si="5"/>
        <v>HAL_1_11</v>
      </c>
      <c r="T31" s="542" t="str">
        <f t="shared" si="2"/>
        <v>FInitial_1_Heat benchmark sub-installation, CL</v>
      </c>
      <c r="U31" s="542" t="str">
        <f t="shared" si="6"/>
        <v>CAPINI_Heat benchmark sub-installation, CL</v>
      </c>
      <c r="V31" s="544">
        <f t="shared" si="7"/>
        <v>1</v>
      </c>
      <c r="W31" s="513"/>
      <c r="X31" s="513"/>
      <c r="Y31" s="513"/>
      <c r="Z31" s="539" t="b">
        <f>INDEX(B_InitialSituation!$X$9:$X$156,MATCH($T31,B_InitialSituation!$Q$9:$Q$156,0))</f>
        <v>0</v>
      </c>
      <c r="AA31" s="513"/>
    </row>
    <row r="32" spans="1:27" s="614" customFormat="1" ht="12.75" customHeight="1">
      <c r="A32" s="4"/>
      <c r="B32" s="5"/>
      <c r="C32" s="32">
        <v>12</v>
      </c>
      <c r="D32" s="930" t="str">
        <f t="shared" si="8"/>
        <v>Heat benchmark sub-installation, non-CL</v>
      </c>
      <c r="E32" s="931"/>
      <c r="F32" s="931"/>
      <c r="G32" s="932"/>
      <c r="H32" s="562"/>
      <c r="I32" s="580">
        <f>IF(H32="","",H32*INDEX(B_InitialSituation!$I$9:$I$156,MATCH($Q32,B_InitialSituation!$Q$9:$Q$156,0)))</f>
      </c>
      <c r="J32" s="580">
        <f>IF(H32="","",H32*INDEX(B_InitialSituation!$J$9:$J$156,MATCH($R32,B_InitialSituation!$R$9:$R$156,0)))</f>
      </c>
      <c r="K32" s="563">
        <f t="shared" si="0"/>
      </c>
      <c r="L32" s="580">
        <f>IF(K32="","",K32*INDEX(B_InitialSituation!$I$9:$I$156,MATCH($Q32,B_InitialSituation!$Q$9:$Q$156,0)))</f>
      </c>
      <c r="M32" s="580">
        <f>IF(K32="","",K32*INDEX(B_InitialSituation!$J$9:$J$156,MATCH($R32,B_InitialSituation!$R$9:$R$156,0)))</f>
      </c>
      <c r="N32" s="564">
        <f t="shared" si="1"/>
      </c>
      <c r="O32" s="9"/>
      <c r="P32" s="9"/>
      <c r="Q32" s="542" t="str">
        <f t="shared" si="3"/>
        <v>CAPINI_1_Heat benchmark sub-installation, non-CL</v>
      </c>
      <c r="R32" s="542" t="str">
        <f t="shared" si="4"/>
        <v>HAL_1_Heat benchmark sub-installation, non-CL</v>
      </c>
      <c r="S32" s="542" t="str">
        <f t="shared" si="5"/>
        <v>HAL_1_12</v>
      </c>
      <c r="T32" s="542" t="str">
        <f t="shared" si="2"/>
        <v>FInitial_1_Heat benchmark sub-installation, non-CL</v>
      </c>
      <c r="U32" s="542" t="str">
        <f t="shared" si="6"/>
        <v>CAPINI_Heat benchmark sub-installation, non-CL</v>
      </c>
      <c r="V32" s="544">
        <f t="shared" si="7"/>
        <v>1</v>
      </c>
      <c r="W32" s="513"/>
      <c r="X32" s="513"/>
      <c r="Y32" s="513"/>
      <c r="Z32" s="539" t="b">
        <f>INDEX(B_InitialSituation!$X$9:$X$156,MATCH($T32,B_InitialSituation!$Q$9:$Q$156,0))</f>
        <v>0</v>
      </c>
      <c r="AA32" s="513"/>
    </row>
    <row r="33" spans="1:27" s="614" customFormat="1" ht="12.75" customHeight="1">
      <c r="A33" s="4"/>
      <c r="B33" s="5"/>
      <c r="C33" s="32">
        <v>13</v>
      </c>
      <c r="D33" s="930" t="str">
        <f t="shared" si="8"/>
        <v>Fuel benchmark sub-installation, CL</v>
      </c>
      <c r="E33" s="931"/>
      <c r="F33" s="931"/>
      <c r="G33" s="932"/>
      <c r="H33" s="562"/>
      <c r="I33" s="580">
        <f>IF(H33="","",H33*INDEX(B_InitialSituation!$I$9:$I$156,MATCH($Q33,B_InitialSituation!$Q$9:$Q$156,0)))</f>
      </c>
      <c r="J33" s="580">
        <f>IF(H33="","",H33*INDEX(B_InitialSituation!$J$9:$J$156,MATCH($R33,B_InitialSituation!$R$9:$R$156,0)))</f>
      </c>
      <c r="K33" s="563">
        <f t="shared" si="0"/>
      </c>
      <c r="L33" s="580">
        <f>IF(K33="","",K33*INDEX(B_InitialSituation!$I$9:$I$156,MATCH($Q33,B_InitialSituation!$Q$9:$Q$156,0)))</f>
      </c>
      <c r="M33" s="580">
        <f>IF(K33="","",K33*INDEX(B_InitialSituation!$J$9:$J$156,MATCH($R33,B_InitialSituation!$R$9:$R$156,0)))</f>
      </c>
      <c r="N33" s="564">
        <f t="shared" si="1"/>
      </c>
      <c r="O33" s="9"/>
      <c r="P33" s="9"/>
      <c r="Q33" s="542" t="str">
        <f t="shared" si="3"/>
        <v>CAPINI_1_Fuel benchmark sub-installation, CL</v>
      </c>
      <c r="R33" s="542" t="str">
        <f t="shared" si="4"/>
        <v>HAL_1_Fuel benchmark sub-installation, CL</v>
      </c>
      <c r="S33" s="542" t="str">
        <f t="shared" si="5"/>
        <v>HAL_1_13</v>
      </c>
      <c r="T33" s="542" t="str">
        <f t="shared" si="2"/>
        <v>FInitial_1_Fuel benchmark sub-installation, CL</v>
      </c>
      <c r="U33" s="542" t="str">
        <f t="shared" si="6"/>
        <v>CAPINI_Fuel benchmark sub-installation, CL</v>
      </c>
      <c r="V33" s="544">
        <f t="shared" si="7"/>
        <v>1</v>
      </c>
      <c r="W33" s="513"/>
      <c r="X33" s="513"/>
      <c r="Y33" s="513"/>
      <c r="Z33" s="539" t="b">
        <f>INDEX(B_InitialSituation!$X$9:$X$156,MATCH($T33,B_InitialSituation!$Q$9:$Q$156,0))</f>
        <v>0</v>
      </c>
      <c r="AA33" s="513"/>
    </row>
    <row r="34" spans="1:27" s="614" customFormat="1" ht="12.75" customHeight="1">
      <c r="A34" s="4"/>
      <c r="B34" s="5"/>
      <c r="C34" s="32">
        <v>14</v>
      </c>
      <c r="D34" s="930" t="str">
        <f t="shared" si="8"/>
        <v>Fuel benchmark sub-installation, non-CL</v>
      </c>
      <c r="E34" s="931"/>
      <c r="F34" s="931"/>
      <c r="G34" s="932"/>
      <c r="H34" s="562"/>
      <c r="I34" s="580">
        <f>IF(H34="","",H34*INDEX(B_InitialSituation!$I$9:$I$156,MATCH($Q34,B_InitialSituation!$Q$9:$Q$156,0)))</f>
      </c>
      <c r="J34" s="580">
        <f>IF(H34="","",H34*INDEX(B_InitialSituation!$J$9:$J$156,MATCH($R34,B_InitialSituation!$R$9:$R$156,0)))</f>
      </c>
      <c r="K34" s="563">
        <f t="shared" si="0"/>
      </c>
      <c r="L34" s="580">
        <f>IF(K34="","",K34*INDEX(B_InitialSituation!$I$9:$I$156,MATCH($Q34,B_InitialSituation!$Q$9:$Q$156,0)))</f>
      </c>
      <c r="M34" s="580">
        <f>IF(K34="","",K34*INDEX(B_InitialSituation!$J$9:$J$156,MATCH($R34,B_InitialSituation!$R$9:$R$156,0)))</f>
      </c>
      <c r="N34" s="564">
        <f t="shared" si="1"/>
      </c>
      <c r="O34" s="9"/>
      <c r="P34" s="9"/>
      <c r="Q34" s="542" t="str">
        <f t="shared" si="3"/>
        <v>CAPINI_1_Fuel benchmark sub-installation, non-CL</v>
      </c>
      <c r="R34" s="542" t="str">
        <f t="shared" si="4"/>
        <v>HAL_1_Fuel benchmark sub-installation, non-CL</v>
      </c>
      <c r="S34" s="542" t="str">
        <f t="shared" si="5"/>
        <v>HAL_1_14</v>
      </c>
      <c r="T34" s="542" t="str">
        <f t="shared" si="2"/>
        <v>FInitial_1_Fuel benchmark sub-installation, non-CL</v>
      </c>
      <c r="U34" s="542" t="str">
        <f t="shared" si="6"/>
        <v>CAPINI_Fuel benchmark sub-installation, non-CL</v>
      </c>
      <c r="V34" s="544">
        <f t="shared" si="7"/>
        <v>1</v>
      </c>
      <c r="W34" s="513"/>
      <c r="X34" s="513"/>
      <c r="Y34" s="513"/>
      <c r="Z34" s="539" t="b">
        <f>INDEX(B_InitialSituation!$X$9:$X$156,MATCH($T34,B_InitialSituation!$Q$9:$Q$156,0))</f>
        <v>0</v>
      </c>
      <c r="AA34" s="513"/>
    </row>
    <row r="35" spans="1:27" s="614" customFormat="1" ht="12.75" customHeight="1">
      <c r="A35" s="4"/>
      <c r="B35" s="5"/>
      <c r="C35" s="32">
        <v>15</v>
      </c>
      <c r="D35" s="930" t="str">
        <f t="shared" si="8"/>
        <v>Process emissions sub-installation, CL</v>
      </c>
      <c r="E35" s="931"/>
      <c r="F35" s="931"/>
      <c r="G35" s="932"/>
      <c r="H35" s="562"/>
      <c r="I35" s="580">
        <f>IF(H35="","",H35*INDEX(B_InitialSituation!$I$9:$I$156,MATCH($Q35,B_InitialSituation!$Q$9:$Q$156,0)))</f>
      </c>
      <c r="J35" s="580">
        <f>IF(H35="","",H35*INDEX(B_InitialSituation!$J$9:$J$156,MATCH($R35,B_InitialSituation!$R$9:$R$156,0)))</f>
      </c>
      <c r="K35" s="563">
        <f t="shared" si="0"/>
      </c>
      <c r="L35" s="580">
        <f>IF(K35="","",K35*INDEX(B_InitialSituation!$I$9:$I$156,MATCH($Q35,B_InitialSituation!$Q$9:$Q$156,0)))</f>
      </c>
      <c r="M35" s="580">
        <f>IF(K35="","",K35*INDEX(B_InitialSituation!$J$9:$J$156,MATCH($R35,B_InitialSituation!$R$9:$R$156,0)))</f>
      </c>
      <c r="N35" s="564">
        <f t="shared" si="1"/>
      </c>
      <c r="O35" s="9"/>
      <c r="P35" s="9"/>
      <c r="Q35" s="542" t="str">
        <f t="shared" si="3"/>
        <v>CAPINI_1_Process emissions sub-installation, CL</v>
      </c>
      <c r="R35" s="542" t="str">
        <f t="shared" si="4"/>
        <v>HAL_1_Process emissions sub-installation, CL</v>
      </c>
      <c r="S35" s="542" t="str">
        <f t="shared" si="5"/>
        <v>HAL_1_15</v>
      </c>
      <c r="T35" s="542" t="str">
        <f t="shared" si="2"/>
        <v>FInitial_1_Process emissions sub-installation, CL</v>
      </c>
      <c r="U35" s="542" t="str">
        <f t="shared" si="6"/>
        <v>CAPINI_Process emissions sub-installation, CL</v>
      </c>
      <c r="V35" s="544">
        <f t="shared" si="7"/>
        <v>1</v>
      </c>
      <c r="W35" s="513"/>
      <c r="X35" s="513"/>
      <c r="Y35" s="513"/>
      <c r="Z35" s="539" t="b">
        <f>INDEX(B_InitialSituation!$X$9:$X$156,MATCH($T35,B_InitialSituation!$Q$9:$Q$156,0))</f>
        <v>0</v>
      </c>
      <c r="AA35" s="513"/>
    </row>
    <row r="36" spans="1:27" s="614" customFormat="1" ht="12.75" customHeight="1">
      <c r="A36" s="4"/>
      <c r="B36" s="5"/>
      <c r="C36" s="28">
        <v>16</v>
      </c>
      <c r="D36" s="930" t="str">
        <f t="shared" si="8"/>
        <v>Process emissions sub-installation, non-CL</v>
      </c>
      <c r="E36" s="931"/>
      <c r="F36" s="931"/>
      <c r="G36" s="932"/>
      <c r="H36" s="568"/>
      <c r="I36" s="583">
        <f>IF(H36="","",H36*INDEX(B_InitialSituation!$I$9:$I$156,MATCH($Q36,B_InitialSituation!$Q$9:$Q$156,0)))</f>
      </c>
      <c r="J36" s="583">
        <f>IF(H36="","",H36*INDEX(B_InitialSituation!$J$9:$J$156,MATCH($R36,B_InitialSituation!$R$9:$R$156,0)))</f>
      </c>
      <c r="K36" s="569">
        <f t="shared" si="0"/>
      </c>
      <c r="L36" s="583">
        <f>IF(K36="","",K36*INDEX(B_InitialSituation!$I$9:$I$156,MATCH($Q36,B_InitialSituation!$Q$9:$Q$156,0)))</f>
      </c>
      <c r="M36" s="583">
        <f>IF(K36="","",K36*INDEX(B_InitialSituation!$J$9:$J$156,MATCH($R36,B_InitialSituation!$R$9:$R$156,0)))</f>
      </c>
      <c r="N36" s="570">
        <f t="shared" si="1"/>
      </c>
      <c r="O36" s="9"/>
      <c r="P36" s="9"/>
      <c r="Q36" s="542" t="str">
        <f t="shared" si="3"/>
        <v>CAPINI_1_Process emissions sub-installation, non-CL</v>
      </c>
      <c r="R36" s="542" t="str">
        <f t="shared" si="4"/>
        <v>HAL_1_Process emissions sub-installation, non-CL</v>
      </c>
      <c r="S36" s="542" t="str">
        <f t="shared" si="5"/>
        <v>HAL_1_16</v>
      </c>
      <c r="T36" s="542" t="str">
        <f t="shared" si="2"/>
        <v>FInitial_1_Process emissions sub-installation, non-CL</v>
      </c>
      <c r="U36" s="542" t="str">
        <f t="shared" si="6"/>
        <v>CAPINI_Process emissions sub-installation, non-CL</v>
      </c>
      <c r="V36" s="544">
        <f t="shared" si="7"/>
        <v>1</v>
      </c>
      <c r="W36" s="513"/>
      <c r="X36" s="513"/>
      <c r="Y36" s="513"/>
      <c r="Z36" s="539" t="b">
        <f>INDEX(B_InitialSituation!$X$9:$X$156,MATCH($T36,B_InitialSituation!$Q$9:$Q$156,0))</f>
        <v>0</v>
      </c>
      <c r="AA36" s="513"/>
    </row>
    <row r="37" spans="1:27" s="614" customFormat="1" ht="12.75" customHeight="1" thickBot="1">
      <c r="A37" s="4"/>
      <c r="B37" s="5"/>
      <c r="C37" s="503">
        <v>17</v>
      </c>
      <c r="D37" s="927" t="str">
        <f>EUconst_PrivateHouseholds</f>
        <v>Private households</v>
      </c>
      <c r="E37" s="928"/>
      <c r="F37" s="928"/>
      <c r="G37" s="929"/>
      <c r="H37" s="552"/>
      <c r="I37" s="571"/>
      <c r="J37" s="571"/>
      <c r="K37" s="555">
        <f t="shared" si="0"/>
      </c>
      <c r="L37" s="571"/>
      <c r="M37" s="571"/>
      <c r="N37" s="558">
        <f t="shared" si="1"/>
      </c>
      <c r="O37" s="9"/>
      <c r="P37" s="9"/>
      <c r="Q37" s="531"/>
      <c r="R37" s="531"/>
      <c r="S37" s="513"/>
      <c r="T37" s="542" t="str">
        <f t="shared" si="2"/>
        <v>FInitial_1_Private households</v>
      </c>
      <c r="U37" s="513"/>
      <c r="V37" s="545">
        <f t="shared" si="7"/>
        <v>1</v>
      </c>
      <c r="W37" s="513"/>
      <c r="X37" s="513"/>
      <c r="Y37" s="513"/>
      <c r="Z37" s="539" t="b">
        <f>INDEX(B_InitialSituation!$X$9:$X$156,MATCH($T37,B_InitialSituation!$Q$9:$Q$156,0))</f>
        <v>0</v>
      </c>
      <c r="AA37" s="513"/>
    </row>
    <row r="38" spans="1:27" s="614" customFormat="1" ht="12.75" customHeight="1">
      <c r="A38" s="4"/>
      <c r="B38" s="5"/>
      <c r="C38" s="7"/>
      <c r="D38" s="5"/>
      <c r="E38" s="5"/>
      <c r="F38" s="5"/>
      <c r="G38" s="5"/>
      <c r="H38" s="5"/>
      <c r="I38" s="5"/>
      <c r="J38" s="5"/>
      <c r="K38" s="5"/>
      <c r="L38" s="5"/>
      <c r="M38" s="9"/>
      <c r="N38" s="9"/>
      <c r="O38" s="9"/>
      <c r="P38" s="9"/>
      <c r="Q38" s="531"/>
      <c r="R38" s="531"/>
      <c r="S38" s="513"/>
      <c r="T38" s="513"/>
      <c r="U38" s="513"/>
      <c r="V38" s="513"/>
      <c r="W38" s="513"/>
      <c r="X38" s="513"/>
      <c r="Y38" s="513"/>
      <c r="Z38" s="513"/>
      <c r="AA38" s="513"/>
    </row>
    <row r="39" spans="1:27" s="614" customFormat="1" ht="12.75" customHeight="1">
      <c r="A39" s="4"/>
      <c r="B39" s="5"/>
      <c r="C39" s="7"/>
      <c r="D39" s="5"/>
      <c r="E39" s="5"/>
      <c r="F39" s="5"/>
      <c r="G39" s="5"/>
      <c r="H39" s="5"/>
      <c r="I39" s="5"/>
      <c r="J39" s="5"/>
      <c r="K39" s="5"/>
      <c r="L39" s="5"/>
      <c r="M39" s="9"/>
      <c r="N39" s="9"/>
      <c r="O39" s="9"/>
      <c r="P39" s="9"/>
      <c r="Q39" s="531"/>
      <c r="R39" s="513"/>
      <c r="S39" s="513"/>
      <c r="T39" s="513"/>
      <c r="U39" s="513"/>
      <c r="V39" s="513"/>
      <c r="W39" s="513"/>
      <c r="X39" s="513"/>
      <c r="Y39" s="513"/>
      <c r="Z39" s="513"/>
      <c r="AA39" s="513"/>
    </row>
    <row r="40" spans="1:27" s="617" customFormat="1" ht="18" customHeight="1">
      <c r="A40" s="214"/>
      <c r="B40" s="385"/>
      <c r="C40" s="391">
        <v>2</v>
      </c>
      <c r="D40" s="894" t="str">
        <f>Translations!$B$1497&amp;" "&amp;C40</f>
        <v>Transfer from installation 2</v>
      </c>
      <c r="E40" s="894"/>
      <c r="F40" s="894"/>
      <c r="G40" s="894"/>
      <c r="H40" s="894"/>
      <c r="I40" s="894"/>
      <c r="J40" s="894"/>
      <c r="K40" s="894"/>
      <c r="L40" s="894"/>
      <c r="M40" s="894"/>
      <c r="N40" s="894"/>
      <c r="O40" s="385"/>
      <c r="P40" s="385"/>
      <c r="Q40" s="536"/>
      <c r="R40" s="536"/>
      <c r="S40" s="536"/>
      <c r="T40" s="536"/>
      <c r="U40" s="536"/>
      <c r="V40" s="536"/>
      <c r="W40" s="536"/>
      <c r="X40" s="536"/>
      <c r="Y40" s="536"/>
      <c r="Z40" s="536"/>
      <c r="AA40" s="536"/>
    </row>
    <row r="41" spans="1:27" s="614" customFormat="1" ht="4.5" customHeight="1">
      <c r="A41" s="4"/>
      <c r="B41" s="20"/>
      <c r="C41" s="18"/>
      <c r="D41" s="7"/>
      <c r="E41" s="7"/>
      <c r="F41" s="7"/>
      <c r="G41" s="7"/>
      <c r="H41" s="7"/>
      <c r="I41" s="7"/>
      <c r="J41" s="7"/>
      <c r="K41" s="7"/>
      <c r="L41" s="7"/>
      <c r="M41" s="7"/>
      <c r="N41" s="7"/>
      <c r="O41" s="7"/>
      <c r="P41" s="20"/>
      <c r="Q41" s="513"/>
      <c r="R41" s="513"/>
      <c r="S41" s="513"/>
      <c r="T41" s="513"/>
      <c r="U41" s="513"/>
      <c r="V41" s="513"/>
      <c r="W41" s="513"/>
      <c r="X41" s="513"/>
      <c r="Y41" s="513"/>
      <c r="Z41" s="513"/>
      <c r="AA41" s="513"/>
    </row>
    <row r="42" spans="1:27" s="614" customFormat="1" ht="13.5" thickBot="1">
      <c r="A42" s="4"/>
      <c r="B42" s="20"/>
      <c r="C42" s="7"/>
      <c r="D42" s="7"/>
      <c r="E42" s="7"/>
      <c r="F42" s="7"/>
      <c r="G42" s="7"/>
      <c r="H42" s="445" t="str">
        <f>Translations!$B$1581</f>
        <v>from:</v>
      </c>
      <c r="I42" s="7"/>
      <c r="J42" s="7"/>
      <c r="K42" s="7"/>
      <c r="L42" s="7"/>
      <c r="M42" s="7"/>
      <c r="N42" s="20"/>
      <c r="O42" s="3"/>
      <c r="P42" s="20"/>
      <c r="Q42" s="513"/>
      <c r="R42" s="513"/>
      <c r="S42" s="513"/>
      <c r="T42" s="513"/>
      <c r="U42" s="513"/>
      <c r="V42" s="513"/>
      <c r="W42" s="513"/>
      <c r="X42" s="513"/>
      <c r="Y42" s="513"/>
      <c r="Z42" s="513"/>
      <c r="AA42" s="513"/>
    </row>
    <row r="43" spans="1:27" s="617" customFormat="1" ht="25.5" customHeight="1" thickBot="1">
      <c r="A43" s="214"/>
      <c r="B43" s="215"/>
      <c r="C43" s="387"/>
      <c r="D43" s="215"/>
      <c r="E43" s="7"/>
      <c r="F43" s="7"/>
      <c r="G43" s="7"/>
      <c r="H43" s="919">
        <f>INDEX(A_InstallationData!$J$188:$J$254,MATCH(C40,A_InstallationData!$R$188:$R$254,0))</f>
      </c>
      <c r="I43" s="920"/>
      <c r="J43" s="921"/>
      <c r="K43" s="7"/>
      <c r="L43" s="7"/>
      <c r="M43" s="7"/>
      <c r="N43" s="392"/>
      <c r="O43" s="9"/>
      <c r="P43" s="9"/>
      <c r="Q43" s="549">
        <f>C40</f>
        <v>2</v>
      </c>
      <c r="R43" s="536"/>
      <c r="S43" s="536"/>
      <c r="T43" s="536"/>
      <c r="U43" s="536"/>
      <c r="V43" s="536"/>
      <c r="W43" s="536"/>
      <c r="X43" s="536"/>
      <c r="Y43" s="536"/>
      <c r="Z43" s="536"/>
      <c r="AA43" s="536"/>
    </row>
    <row r="44" spans="1:27" s="614" customFormat="1" ht="4.5" customHeight="1">
      <c r="A44" s="4"/>
      <c r="B44" s="5"/>
      <c r="C44" s="7"/>
      <c r="D44" s="5"/>
      <c r="E44" s="5"/>
      <c r="F44" s="5"/>
      <c r="G44" s="7"/>
      <c r="H44" s="5"/>
      <c r="I44" s="376"/>
      <c r="J44" s="5"/>
      <c r="K44" s="5"/>
      <c r="L44" s="5"/>
      <c r="M44" s="9"/>
      <c r="N44" s="366"/>
      <c r="O44" s="9"/>
      <c r="P44" s="9"/>
      <c r="Q44" s="531"/>
      <c r="R44" s="513"/>
      <c r="S44" s="513"/>
      <c r="T44" s="513"/>
      <c r="U44" s="513"/>
      <c r="V44" s="513"/>
      <c r="W44" s="513"/>
      <c r="X44" s="513"/>
      <c r="Y44" s="513"/>
      <c r="Z44" s="513"/>
      <c r="AA44" s="513"/>
    </row>
    <row r="45" spans="1:27" s="614" customFormat="1" ht="12.75" customHeight="1" thickBot="1">
      <c r="A45" s="4"/>
      <c r="B45" s="5"/>
      <c r="C45" s="7"/>
      <c r="D45" s="5"/>
      <c r="E45" s="5"/>
      <c r="F45" s="5"/>
      <c r="G45" s="7"/>
      <c r="H45" s="506" t="str">
        <f>Translations!$B$1582</f>
        <v>to:</v>
      </c>
      <c r="I45" s="507"/>
      <c r="J45" s="44"/>
      <c r="K45" s="506" t="str">
        <f>Translations!$B$1582</f>
        <v>to:</v>
      </c>
      <c r="L45" s="7"/>
      <c r="M45" s="7"/>
      <c r="N45" s="366"/>
      <c r="O45" s="9"/>
      <c r="P45" s="9"/>
      <c r="Q45" s="531"/>
      <c r="R45" s="513"/>
      <c r="S45" s="513"/>
      <c r="T45" s="513"/>
      <c r="U45" s="513"/>
      <c r="V45" s="513"/>
      <c r="W45" s="513"/>
      <c r="X45" s="513"/>
      <c r="Y45" s="513"/>
      <c r="Z45" s="513"/>
      <c r="AA45" s="513"/>
    </row>
    <row r="46" spans="1:27" s="614" customFormat="1" ht="25.5" customHeight="1" thickBot="1">
      <c r="A46" s="4"/>
      <c r="B46" s="5"/>
      <c r="C46" s="5"/>
      <c r="D46" s="5"/>
      <c r="E46" s="5"/>
      <c r="F46" s="5"/>
      <c r="G46" s="7"/>
      <c r="H46" s="919">
        <f>IF($H43="","",INDEX(A_InstallationData!$J$188:$J$254,MATCH(R46,A_InstallationData!$R$188:$R$254,0)))</f>
      </c>
      <c r="I46" s="920"/>
      <c r="J46" s="921"/>
      <c r="K46" s="919">
        <f>IF($H43="","",INDEX(A_InstallationData!$J$188:$J$254,MATCH(U46,A_InstallationData!$R$188:$R$254,0)))</f>
      </c>
      <c r="L46" s="920"/>
      <c r="M46" s="921"/>
      <c r="N46" s="9"/>
      <c r="O46" s="9"/>
      <c r="P46" s="9"/>
      <c r="Q46" s="531"/>
      <c r="R46" s="586">
        <v>3</v>
      </c>
      <c r="S46" s="513"/>
      <c r="T46" s="513"/>
      <c r="U46" s="586">
        <v>4</v>
      </c>
      <c r="V46" s="540" t="s">
        <v>1968</v>
      </c>
      <c r="W46" s="513"/>
      <c r="X46" s="513"/>
      <c r="Y46" s="513"/>
      <c r="Z46" s="513"/>
      <c r="AA46" s="513"/>
    </row>
    <row r="47" spans="1:27" s="614" customFormat="1" ht="38.25" customHeight="1" thickBot="1">
      <c r="A47" s="4"/>
      <c r="B47" s="5"/>
      <c r="C47" s="22"/>
      <c r="D47" s="922" t="str">
        <f>Translations!$B$440</f>
        <v>Sub-installation</v>
      </c>
      <c r="E47" s="923"/>
      <c r="F47" s="923"/>
      <c r="G47" s="378"/>
      <c r="H47" s="508" t="str">
        <f>Translations!$B$1583</f>
        <v>Share</v>
      </c>
      <c r="I47" s="404" t="str">
        <f>Translations!$B$1584</f>
        <v>Installed capacity</v>
      </c>
      <c r="J47" s="510" t="str">
        <f>Translations!$B$1585</f>
        <v>Annual activity level</v>
      </c>
      <c r="K47" s="511" t="str">
        <f>Translations!$B$1583</f>
        <v>Share</v>
      </c>
      <c r="L47" s="69" t="str">
        <f>Translations!$B$1584</f>
        <v>Installed capacity</v>
      </c>
      <c r="M47" s="512" t="str">
        <f>Translations!$B$1585</f>
        <v>Annual activity level</v>
      </c>
      <c r="N47" s="629" t="str">
        <f>Translations!$B$1103</f>
        <v>error message</v>
      </c>
      <c r="O47" s="9"/>
      <c r="P47" s="9"/>
      <c r="Q47" s="531"/>
      <c r="R47" s="513"/>
      <c r="S47" s="513"/>
      <c r="T47" s="513"/>
      <c r="U47" s="513"/>
      <c r="V47" s="540"/>
      <c r="W47" s="513"/>
      <c r="X47" s="513"/>
      <c r="Y47" s="513"/>
      <c r="Z47" s="538" t="s">
        <v>1034</v>
      </c>
      <c r="AA47" s="513"/>
    </row>
    <row r="48" spans="1:27" s="614" customFormat="1" ht="12.75" customHeight="1" thickBot="1">
      <c r="A48" s="4"/>
      <c r="B48" s="5"/>
      <c r="C48" s="509">
        <v>0</v>
      </c>
      <c r="D48" s="924" t="str">
        <f>Translations!$B$1447</f>
        <v>Phase before start</v>
      </c>
      <c r="E48" s="925"/>
      <c r="F48" s="925"/>
      <c r="G48" s="926"/>
      <c r="H48" s="552"/>
      <c r="I48" s="553"/>
      <c r="J48" s="554"/>
      <c r="K48" s="555">
        <f aca="true" t="shared" si="9" ref="K48:K65">IF(H48="","",1-H48)</f>
      </c>
      <c r="L48" s="556"/>
      <c r="M48" s="557"/>
      <c r="N48" s="558">
        <f aca="true" t="shared" si="10" ref="N48:N65">IF(AND($Z48=TRUE,H48=""),EUconst_Incomplete,IF(H48&gt;1,EUconst_Inconsistent,""))</f>
      </c>
      <c r="O48" s="9"/>
      <c r="P48" s="572"/>
      <c r="Q48" s="531"/>
      <c r="R48" s="513"/>
      <c r="S48" s="513"/>
      <c r="T48" s="542" t="str">
        <f aca="true" t="shared" si="11" ref="T48:T65">EUconst_CNTR_Finitial&amp;$V48&amp;"_"&amp;$D48</f>
        <v>FInitial_2_Phase before start</v>
      </c>
      <c r="U48" s="513"/>
      <c r="V48" s="543">
        <f>C40</f>
        <v>2</v>
      </c>
      <c r="W48" s="513"/>
      <c r="X48" s="513"/>
      <c r="Y48" s="513"/>
      <c r="Z48" s="539" t="b">
        <f>INDEX(B_InitialSituation!$X$9:$X$156,MATCH($T48,B_InitialSituation!$Q$9:$Q$156,0))</f>
        <v>0</v>
      </c>
      <c r="AA48" s="513"/>
    </row>
    <row r="49" spans="1:27" s="614" customFormat="1" ht="12.75" customHeight="1">
      <c r="A49" s="4"/>
      <c r="B49" s="5"/>
      <c r="C49" s="32">
        <v>1</v>
      </c>
      <c r="D49" s="913">
        <f>INDEX(B_InitialSituation!$D$9:$D$156,MATCH($S49,B_InitialSituation!$S$9:$S$156,0))</f>
      </c>
      <c r="E49" s="914"/>
      <c r="F49" s="914"/>
      <c r="G49" s="915"/>
      <c r="H49" s="559"/>
      <c r="I49" s="579">
        <f>IF(H49="","",H49*INDEX(B_InitialSituation!$I$9:$I$156,MATCH($Q49,B_InitialSituation!$Q$9:$Q$156,0)))</f>
      </c>
      <c r="J49" s="579">
        <f>IF(H49="","",H49*INDEX(B_InitialSituation!$J$9:$J$156,MATCH($R49,B_InitialSituation!$R$9:$R$156,0)))</f>
      </c>
      <c r="K49" s="560">
        <f t="shared" si="9"/>
      </c>
      <c r="L49" s="579">
        <f>IF(K49="","",K49*INDEX(B_InitialSituation!$I$9:$I$156,MATCH($Q49,B_InitialSituation!$Q$9:$Q$156,0)))</f>
      </c>
      <c r="M49" s="579">
        <f>IF(K49="","",K49*INDEX(B_InitialSituation!$J$9:$J$156,MATCH($R49,B_InitialSituation!$R$9:$R$156,0)))</f>
      </c>
      <c r="N49" s="561">
        <f t="shared" si="10"/>
      </c>
      <c r="O49" s="9"/>
      <c r="P49" s="9"/>
      <c r="Q49" s="542" t="str">
        <f aca="true" t="shared" si="12" ref="Q49:Q64">EUconst_CNTR_CAPINI&amp;$V49&amp;"_"&amp;$D49</f>
        <v>CAPINI_2_</v>
      </c>
      <c r="R49" s="542" t="str">
        <f aca="true" t="shared" si="13" ref="R49:R64">EUconst_CNTR_HAL&amp;$V49&amp;"_"&amp;$D49</f>
        <v>HAL_2_</v>
      </c>
      <c r="S49" s="542" t="str">
        <f aca="true" t="shared" si="14" ref="S49:S64">EUconst_CNTR_HAL&amp;$V49&amp;"_"&amp;$C49</f>
        <v>HAL_2_1</v>
      </c>
      <c r="T49" s="542" t="str">
        <f t="shared" si="11"/>
        <v>FInitial_2_</v>
      </c>
      <c r="U49" s="542" t="str">
        <f aca="true" t="shared" si="15" ref="U49:U64">EUconst_CNTR_CAPINI&amp;$D49</f>
        <v>CAPINI_</v>
      </c>
      <c r="V49" s="544">
        <f aca="true" t="shared" si="16" ref="V49:V65">V48</f>
        <v>2</v>
      </c>
      <c r="W49" s="513"/>
      <c r="X49" s="513"/>
      <c r="Y49" s="513"/>
      <c r="Z49" s="539" t="b">
        <f>INDEX(B_InitialSituation!$X$9:$X$156,MATCH($T49,B_InitialSituation!$Q$9:$Q$156,0))</f>
        <v>0</v>
      </c>
      <c r="AA49" s="513"/>
    </row>
    <row r="50" spans="1:27" s="614" customFormat="1" ht="12.75" customHeight="1">
      <c r="A50" s="4"/>
      <c r="B50" s="5"/>
      <c r="C50" s="32">
        <v>2</v>
      </c>
      <c r="D50" s="916">
        <f>INDEX(B_InitialSituation!$D$9:$D$156,MATCH($S50,B_InitialSituation!$S$9:$S$156,0))</f>
      </c>
      <c r="E50" s="917"/>
      <c r="F50" s="917"/>
      <c r="G50" s="918"/>
      <c r="H50" s="562"/>
      <c r="I50" s="580">
        <f>IF(H50="","",H50*INDEX(B_InitialSituation!$I$9:$I$156,MATCH($Q50,B_InitialSituation!$Q$9:$Q$156,0)))</f>
      </c>
      <c r="J50" s="580">
        <f>IF(H50="","",H50*INDEX(B_InitialSituation!$J$9:$J$156,MATCH($R50,B_InitialSituation!$R$9:$R$156,0)))</f>
      </c>
      <c r="K50" s="563">
        <f t="shared" si="9"/>
      </c>
      <c r="L50" s="580">
        <f>IF(K50="","",K50*INDEX(B_InitialSituation!$I$9:$I$156,MATCH($Q50,B_InitialSituation!$Q$9:$Q$156,0)))</f>
      </c>
      <c r="M50" s="580">
        <f>IF(K50="","",K50*INDEX(B_InitialSituation!$J$9:$J$156,MATCH($R50,B_InitialSituation!$R$9:$R$156,0)))</f>
      </c>
      <c r="N50" s="564">
        <f t="shared" si="10"/>
      </c>
      <c r="O50" s="9"/>
      <c r="P50" s="9"/>
      <c r="Q50" s="542" t="str">
        <f t="shared" si="12"/>
        <v>CAPINI_2_</v>
      </c>
      <c r="R50" s="542" t="str">
        <f t="shared" si="13"/>
        <v>HAL_2_</v>
      </c>
      <c r="S50" s="542" t="str">
        <f t="shared" si="14"/>
        <v>HAL_2_2</v>
      </c>
      <c r="T50" s="542" t="str">
        <f t="shared" si="11"/>
        <v>FInitial_2_</v>
      </c>
      <c r="U50" s="542" t="str">
        <f t="shared" si="15"/>
        <v>CAPINI_</v>
      </c>
      <c r="V50" s="544">
        <f t="shared" si="16"/>
        <v>2</v>
      </c>
      <c r="W50" s="513"/>
      <c r="X50" s="513"/>
      <c r="Y50" s="513"/>
      <c r="Z50" s="539" t="b">
        <f>INDEX(B_InitialSituation!$X$9:$X$156,MATCH($T50,B_InitialSituation!$Q$9:$Q$156,0))</f>
        <v>0</v>
      </c>
      <c r="AA50" s="513"/>
    </row>
    <row r="51" spans="1:27" s="614" customFormat="1" ht="12.75" customHeight="1">
      <c r="A51" s="4"/>
      <c r="B51" s="5"/>
      <c r="C51" s="32">
        <v>3</v>
      </c>
      <c r="D51" s="916">
        <f>INDEX(B_InitialSituation!$D$9:$D$156,MATCH($S51,B_InitialSituation!$S$9:$S$156,0))</f>
      </c>
      <c r="E51" s="917"/>
      <c r="F51" s="917"/>
      <c r="G51" s="918"/>
      <c r="H51" s="562"/>
      <c r="I51" s="580">
        <f>IF(H51="","",H51*INDEX(B_InitialSituation!$I$9:$I$156,MATCH($Q51,B_InitialSituation!$Q$9:$Q$156,0)))</f>
      </c>
      <c r="J51" s="580">
        <f>IF(H51="","",H51*INDEX(B_InitialSituation!$J$9:$J$156,MATCH($R51,B_InitialSituation!$R$9:$R$156,0)))</f>
      </c>
      <c r="K51" s="563">
        <f t="shared" si="9"/>
      </c>
      <c r="L51" s="580">
        <f>IF(K51="","",K51*INDEX(B_InitialSituation!$I$9:$I$156,MATCH($Q51,B_InitialSituation!$Q$9:$Q$156,0)))</f>
      </c>
      <c r="M51" s="580">
        <f>IF(K51="","",K51*INDEX(B_InitialSituation!$J$9:$J$156,MATCH($R51,B_InitialSituation!$R$9:$R$156,0)))</f>
      </c>
      <c r="N51" s="564">
        <f t="shared" si="10"/>
      </c>
      <c r="O51" s="9"/>
      <c r="P51" s="9"/>
      <c r="Q51" s="542" t="str">
        <f t="shared" si="12"/>
        <v>CAPINI_2_</v>
      </c>
      <c r="R51" s="542" t="str">
        <f t="shared" si="13"/>
        <v>HAL_2_</v>
      </c>
      <c r="S51" s="542" t="str">
        <f t="shared" si="14"/>
        <v>HAL_2_3</v>
      </c>
      <c r="T51" s="542" t="str">
        <f t="shared" si="11"/>
        <v>FInitial_2_</v>
      </c>
      <c r="U51" s="542" t="str">
        <f t="shared" si="15"/>
        <v>CAPINI_</v>
      </c>
      <c r="V51" s="544">
        <f t="shared" si="16"/>
        <v>2</v>
      </c>
      <c r="W51" s="513"/>
      <c r="X51" s="513"/>
      <c r="Y51" s="513"/>
      <c r="Z51" s="539" t="b">
        <f>INDEX(B_InitialSituation!$X$9:$X$156,MATCH($T51,B_InitialSituation!$Q$9:$Q$156,0))</f>
        <v>0</v>
      </c>
      <c r="AA51" s="513"/>
    </row>
    <row r="52" spans="1:27" s="614" customFormat="1" ht="12.75" customHeight="1">
      <c r="A52" s="4"/>
      <c r="B52" s="5"/>
      <c r="C52" s="32">
        <v>4</v>
      </c>
      <c r="D52" s="916">
        <f>INDEX(B_InitialSituation!$D$9:$D$156,MATCH($S52,B_InitialSituation!$S$9:$S$156,0))</f>
      </c>
      <c r="E52" s="917"/>
      <c r="F52" s="917"/>
      <c r="G52" s="918"/>
      <c r="H52" s="562"/>
      <c r="I52" s="580">
        <f>IF(H52="","",H52*INDEX(B_InitialSituation!$I$9:$I$156,MATCH($Q52,B_InitialSituation!$Q$9:$Q$156,0)))</f>
      </c>
      <c r="J52" s="580">
        <f>IF(H52="","",H52*INDEX(B_InitialSituation!$J$9:$J$156,MATCH($R52,B_InitialSituation!$R$9:$R$156,0)))</f>
      </c>
      <c r="K52" s="563">
        <f t="shared" si="9"/>
      </c>
      <c r="L52" s="580">
        <f>IF(K52="","",K52*INDEX(B_InitialSituation!$I$9:$I$156,MATCH($Q52,B_InitialSituation!$Q$9:$Q$156,0)))</f>
      </c>
      <c r="M52" s="580">
        <f>IF(K52="","",K52*INDEX(B_InitialSituation!$J$9:$J$156,MATCH($R52,B_InitialSituation!$R$9:$R$156,0)))</f>
      </c>
      <c r="N52" s="564">
        <f t="shared" si="10"/>
      </c>
      <c r="O52" s="9"/>
      <c r="P52" s="9"/>
      <c r="Q52" s="542" t="str">
        <f t="shared" si="12"/>
        <v>CAPINI_2_</v>
      </c>
      <c r="R52" s="542" t="str">
        <f t="shared" si="13"/>
        <v>HAL_2_</v>
      </c>
      <c r="S52" s="542" t="str">
        <f t="shared" si="14"/>
        <v>HAL_2_4</v>
      </c>
      <c r="T52" s="542" t="str">
        <f t="shared" si="11"/>
        <v>FInitial_2_</v>
      </c>
      <c r="U52" s="542" t="str">
        <f t="shared" si="15"/>
        <v>CAPINI_</v>
      </c>
      <c r="V52" s="544">
        <f t="shared" si="16"/>
        <v>2</v>
      </c>
      <c r="W52" s="513"/>
      <c r="X52" s="513"/>
      <c r="Y52" s="513"/>
      <c r="Z52" s="539" t="b">
        <f>INDEX(B_InitialSituation!$X$9:$X$156,MATCH($T52,B_InitialSituation!$Q$9:$Q$156,0))</f>
        <v>0</v>
      </c>
      <c r="AA52" s="513"/>
    </row>
    <row r="53" spans="1:27" s="614" customFormat="1" ht="12.75" customHeight="1">
      <c r="A53" s="4"/>
      <c r="B53" s="5"/>
      <c r="C53" s="32">
        <v>5</v>
      </c>
      <c r="D53" s="916">
        <f>INDEX(B_InitialSituation!$D$9:$D$156,MATCH($S53,B_InitialSituation!$S$9:$S$156,0))</f>
      </c>
      <c r="E53" s="917"/>
      <c r="F53" s="917"/>
      <c r="G53" s="918"/>
      <c r="H53" s="562"/>
      <c r="I53" s="580">
        <f>IF(H53="","",H53*INDEX(B_InitialSituation!$I$9:$I$156,MATCH($Q53,B_InitialSituation!$Q$9:$Q$156,0)))</f>
      </c>
      <c r="J53" s="580">
        <f>IF(H53="","",H53*INDEX(B_InitialSituation!$J$9:$J$156,MATCH($R53,B_InitialSituation!$R$9:$R$156,0)))</f>
      </c>
      <c r="K53" s="563">
        <f t="shared" si="9"/>
      </c>
      <c r="L53" s="580">
        <f>IF(K53="","",K53*INDEX(B_InitialSituation!$I$9:$I$156,MATCH($Q53,B_InitialSituation!$Q$9:$Q$156,0)))</f>
      </c>
      <c r="M53" s="580">
        <f>IF(K53="","",K53*INDEX(B_InitialSituation!$J$9:$J$156,MATCH($R53,B_InitialSituation!$R$9:$R$156,0)))</f>
      </c>
      <c r="N53" s="564">
        <f t="shared" si="10"/>
      </c>
      <c r="O53" s="9"/>
      <c r="P53" s="9"/>
      <c r="Q53" s="542" t="str">
        <f t="shared" si="12"/>
        <v>CAPINI_2_</v>
      </c>
      <c r="R53" s="542" t="str">
        <f t="shared" si="13"/>
        <v>HAL_2_</v>
      </c>
      <c r="S53" s="542" t="str">
        <f t="shared" si="14"/>
        <v>HAL_2_5</v>
      </c>
      <c r="T53" s="542" t="str">
        <f t="shared" si="11"/>
        <v>FInitial_2_</v>
      </c>
      <c r="U53" s="542" t="str">
        <f t="shared" si="15"/>
        <v>CAPINI_</v>
      </c>
      <c r="V53" s="544">
        <f t="shared" si="16"/>
        <v>2</v>
      </c>
      <c r="W53" s="513"/>
      <c r="X53" s="513"/>
      <c r="Y53" s="513"/>
      <c r="Z53" s="539" t="b">
        <f>INDEX(B_InitialSituation!$X$9:$X$156,MATCH($T53,B_InitialSituation!$Q$9:$Q$156,0))</f>
        <v>0</v>
      </c>
      <c r="AA53" s="513"/>
    </row>
    <row r="54" spans="1:27" s="614" customFormat="1" ht="12.75" customHeight="1">
      <c r="A54" s="4"/>
      <c r="B54" s="5"/>
      <c r="C54" s="32">
        <v>6</v>
      </c>
      <c r="D54" s="916">
        <f>INDEX(B_InitialSituation!$D$9:$D$156,MATCH($S54,B_InitialSituation!$S$9:$S$156,0))</f>
      </c>
      <c r="E54" s="917"/>
      <c r="F54" s="917"/>
      <c r="G54" s="918"/>
      <c r="H54" s="562"/>
      <c r="I54" s="580">
        <f>IF(H54="","",H54*INDEX(B_InitialSituation!$I$9:$I$156,MATCH($Q54,B_InitialSituation!$Q$9:$Q$156,0)))</f>
      </c>
      <c r="J54" s="580">
        <f>IF(H54="","",H54*INDEX(B_InitialSituation!$J$9:$J$156,MATCH($R54,B_InitialSituation!$R$9:$R$156,0)))</f>
      </c>
      <c r="K54" s="563">
        <f t="shared" si="9"/>
      </c>
      <c r="L54" s="580">
        <f>IF(K54="","",K54*INDEX(B_InitialSituation!$I$9:$I$156,MATCH($Q54,B_InitialSituation!$Q$9:$Q$156,0)))</f>
      </c>
      <c r="M54" s="580">
        <f>IF(K54="","",K54*INDEX(B_InitialSituation!$J$9:$J$156,MATCH($R54,B_InitialSituation!$R$9:$R$156,0)))</f>
      </c>
      <c r="N54" s="564">
        <f t="shared" si="10"/>
      </c>
      <c r="O54" s="9"/>
      <c r="P54" s="9"/>
      <c r="Q54" s="542" t="str">
        <f t="shared" si="12"/>
        <v>CAPINI_2_</v>
      </c>
      <c r="R54" s="542" t="str">
        <f t="shared" si="13"/>
        <v>HAL_2_</v>
      </c>
      <c r="S54" s="542" t="str">
        <f t="shared" si="14"/>
        <v>HAL_2_6</v>
      </c>
      <c r="T54" s="542" t="str">
        <f t="shared" si="11"/>
        <v>FInitial_2_</v>
      </c>
      <c r="U54" s="542" t="str">
        <f t="shared" si="15"/>
        <v>CAPINI_</v>
      </c>
      <c r="V54" s="544">
        <f t="shared" si="16"/>
        <v>2</v>
      </c>
      <c r="W54" s="513"/>
      <c r="X54" s="513"/>
      <c r="Y54" s="513"/>
      <c r="Z54" s="539" t="b">
        <f>INDEX(B_InitialSituation!$X$9:$X$156,MATCH($T54,B_InitialSituation!$Q$9:$Q$156,0))</f>
        <v>0</v>
      </c>
      <c r="AA54" s="513"/>
    </row>
    <row r="55" spans="1:27" s="614" customFormat="1" ht="12.75" customHeight="1">
      <c r="A55" s="4"/>
      <c r="B55" s="5"/>
      <c r="C55" s="32">
        <v>7</v>
      </c>
      <c r="D55" s="916">
        <f>INDEX(B_InitialSituation!$D$9:$D$156,MATCH($S55,B_InitialSituation!$S$9:$S$156,0))</f>
      </c>
      <c r="E55" s="917"/>
      <c r="F55" s="917"/>
      <c r="G55" s="918"/>
      <c r="H55" s="562"/>
      <c r="I55" s="580">
        <f>IF(H55="","",H55*INDEX(B_InitialSituation!$I$9:$I$156,MATCH($Q55,B_InitialSituation!$Q$9:$Q$156,0)))</f>
      </c>
      <c r="J55" s="580">
        <f>IF(H55="","",H55*INDEX(B_InitialSituation!$J$9:$J$156,MATCH($R55,B_InitialSituation!$R$9:$R$156,0)))</f>
      </c>
      <c r="K55" s="563">
        <f t="shared" si="9"/>
      </c>
      <c r="L55" s="580">
        <f>IF(K55="","",K55*INDEX(B_InitialSituation!$I$9:$I$156,MATCH($Q55,B_InitialSituation!$Q$9:$Q$156,0)))</f>
      </c>
      <c r="M55" s="580">
        <f>IF(K55="","",K55*INDEX(B_InitialSituation!$J$9:$J$156,MATCH($R55,B_InitialSituation!$R$9:$R$156,0)))</f>
      </c>
      <c r="N55" s="564">
        <f t="shared" si="10"/>
      </c>
      <c r="O55" s="9"/>
      <c r="P55" s="9"/>
      <c r="Q55" s="542" t="str">
        <f t="shared" si="12"/>
        <v>CAPINI_2_</v>
      </c>
      <c r="R55" s="542" t="str">
        <f t="shared" si="13"/>
        <v>HAL_2_</v>
      </c>
      <c r="S55" s="542" t="str">
        <f t="shared" si="14"/>
        <v>HAL_2_7</v>
      </c>
      <c r="T55" s="542" t="str">
        <f t="shared" si="11"/>
        <v>FInitial_2_</v>
      </c>
      <c r="U55" s="542" t="str">
        <f t="shared" si="15"/>
        <v>CAPINI_</v>
      </c>
      <c r="V55" s="544">
        <f t="shared" si="16"/>
        <v>2</v>
      </c>
      <c r="W55" s="513"/>
      <c r="X55" s="513"/>
      <c r="Y55" s="513"/>
      <c r="Z55" s="539" t="b">
        <f>INDEX(B_InitialSituation!$X$9:$X$156,MATCH($T55,B_InitialSituation!$Q$9:$Q$156,0))</f>
        <v>0</v>
      </c>
      <c r="AA55" s="513"/>
    </row>
    <row r="56" spans="1:27" s="614" customFormat="1" ht="12.75" customHeight="1">
      <c r="A56" s="4"/>
      <c r="B56" s="5"/>
      <c r="C56" s="32">
        <v>8</v>
      </c>
      <c r="D56" s="916">
        <f>INDEX(B_InitialSituation!$D$9:$D$156,MATCH($S56,B_InitialSituation!$S$9:$S$156,0))</f>
      </c>
      <c r="E56" s="917"/>
      <c r="F56" s="917"/>
      <c r="G56" s="918"/>
      <c r="H56" s="562"/>
      <c r="I56" s="580">
        <f>IF(H56="","",H56*INDEX(B_InitialSituation!$I$9:$I$156,MATCH($Q56,B_InitialSituation!$Q$9:$Q$156,0)))</f>
      </c>
      <c r="J56" s="580">
        <f>IF(H56="","",H56*INDEX(B_InitialSituation!$J$9:$J$156,MATCH($R56,B_InitialSituation!$R$9:$R$156,0)))</f>
      </c>
      <c r="K56" s="563">
        <f t="shared" si="9"/>
      </c>
      <c r="L56" s="580">
        <f>IF(K56="","",K56*INDEX(B_InitialSituation!$I$9:$I$156,MATCH($Q56,B_InitialSituation!$Q$9:$Q$156,0)))</f>
      </c>
      <c r="M56" s="580">
        <f>IF(K56="","",K56*INDEX(B_InitialSituation!$J$9:$J$156,MATCH($R56,B_InitialSituation!$R$9:$R$156,0)))</f>
      </c>
      <c r="N56" s="564">
        <f t="shared" si="10"/>
      </c>
      <c r="O56" s="9"/>
      <c r="P56" s="9"/>
      <c r="Q56" s="542" t="str">
        <f t="shared" si="12"/>
        <v>CAPINI_2_</v>
      </c>
      <c r="R56" s="542" t="str">
        <f t="shared" si="13"/>
        <v>HAL_2_</v>
      </c>
      <c r="S56" s="542" t="str">
        <f t="shared" si="14"/>
        <v>HAL_2_8</v>
      </c>
      <c r="T56" s="542" t="str">
        <f t="shared" si="11"/>
        <v>FInitial_2_</v>
      </c>
      <c r="U56" s="542" t="str">
        <f t="shared" si="15"/>
        <v>CAPINI_</v>
      </c>
      <c r="V56" s="544">
        <f t="shared" si="16"/>
        <v>2</v>
      </c>
      <c r="W56" s="513"/>
      <c r="X56" s="513"/>
      <c r="Y56" s="513"/>
      <c r="Z56" s="539" t="b">
        <f>INDEX(B_InitialSituation!$X$9:$X$156,MATCH($T56,B_InitialSituation!$Q$9:$Q$156,0))</f>
        <v>0</v>
      </c>
      <c r="AA56" s="513"/>
    </row>
    <row r="57" spans="1:27" s="614" customFormat="1" ht="12.75" customHeight="1">
      <c r="A57" s="4"/>
      <c r="B57" s="5"/>
      <c r="C57" s="32">
        <v>9</v>
      </c>
      <c r="D57" s="916">
        <f>INDEX(B_InitialSituation!$D$9:$D$156,MATCH($S57,B_InitialSituation!$S$9:$S$156,0))</f>
      </c>
      <c r="E57" s="917"/>
      <c r="F57" s="917"/>
      <c r="G57" s="918"/>
      <c r="H57" s="562"/>
      <c r="I57" s="580">
        <f>IF(H57="","",H57*INDEX(B_InitialSituation!$I$9:$I$156,MATCH($Q57,B_InitialSituation!$Q$9:$Q$156,0)))</f>
      </c>
      <c r="J57" s="580">
        <f>IF(H57="","",H57*INDEX(B_InitialSituation!$J$9:$J$156,MATCH($R57,B_InitialSituation!$R$9:$R$156,0)))</f>
      </c>
      <c r="K57" s="563">
        <f t="shared" si="9"/>
      </c>
      <c r="L57" s="580">
        <f>IF(K57="","",K57*INDEX(B_InitialSituation!$I$9:$I$156,MATCH($Q57,B_InitialSituation!$Q$9:$Q$156,0)))</f>
      </c>
      <c r="M57" s="580">
        <f>IF(K57="","",K57*INDEX(B_InitialSituation!$J$9:$J$156,MATCH($R57,B_InitialSituation!$R$9:$R$156,0)))</f>
      </c>
      <c r="N57" s="564">
        <f t="shared" si="10"/>
      </c>
      <c r="O57" s="9"/>
      <c r="P57" s="9"/>
      <c r="Q57" s="542" t="str">
        <f t="shared" si="12"/>
        <v>CAPINI_2_</v>
      </c>
      <c r="R57" s="542" t="str">
        <f t="shared" si="13"/>
        <v>HAL_2_</v>
      </c>
      <c r="S57" s="542" t="str">
        <f t="shared" si="14"/>
        <v>HAL_2_9</v>
      </c>
      <c r="T57" s="542" t="str">
        <f t="shared" si="11"/>
        <v>FInitial_2_</v>
      </c>
      <c r="U57" s="542" t="str">
        <f t="shared" si="15"/>
        <v>CAPINI_</v>
      </c>
      <c r="V57" s="544">
        <f t="shared" si="16"/>
        <v>2</v>
      </c>
      <c r="W57" s="513"/>
      <c r="X57" s="513"/>
      <c r="Y57" s="513"/>
      <c r="Z57" s="539" t="b">
        <f>INDEX(B_InitialSituation!$X$9:$X$156,MATCH($T57,B_InitialSituation!$Q$9:$Q$156,0))</f>
        <v>0</v>
      </c>
      <c r="AA57" s="513"/>
    </row>
    <row r="58" spans="1:27" s="614" customFormat="1" ht="12.75" customHeight="1">
      <c r="A58" s="4"/>
      <c r="B58" s="5"/>
      <c r="C58" s="28">
        <v>10</v>
      </c>
      <c r="D58" s="936">
        <f>INDEX(B_InitialSituation!$D$9:$D$156,MATCH($S58,B_InitialSituation!$S$9:$S$156,0))</f>
      </c>
      <c r="E58" s="937"/>
      <c r="F58" s="937"/>
      <c r="G58" s="938"/>
      <c r="H58" s="565"/>
      <c r="I58" s="581">
        <f>IF(H58="","",H58*INDEX(B_InitialSituation!$I$9:$I$156,MATCH($Q58,B_InitialSituation!$Q$9:$Q$156,0)))</f>
      </c>
      <c r="J58" s="581">
        <f>IF(H58="","",H58*INDEX(B_InitialSituation!$J$9:$J$156,MATCH($R58,B_InitialSituation!$R$9:$R$156,0)))</f>
      </c>
      <c r="K58" s="566">
        <f t="shared" si="9"/>
      </c>
      <c r="L58" s="581">
        <f>IF(K58="","",K58*INDEX(B_InitialSituation!$I$9:$I$156,MATCH($Q58,B_InitialSituation!$Q$9:$Q$156,0)))</f>
      </c>
      <c r="M58" s="581">
        <f>IF(K58="","",K58*INDEX(B_InitialSituation!$J$9:$J$156,MATCH($R58,B_InitialSituation!$R$9:$R$156,0)))</f>
      </c>
      <c r="N58" s="567">
        <f t="shared" si="10"/>
      </c>
      <c r="O58" s="9"/>
      <c r="P58" s="9"/>
      <c r="Q58" s="542" t="str">
        <f t="shared" si="12"/>
        <v>CAPINI_2_</v>
      </c>
      <c r="R58" s="542" t="str">
        <f t="shared" si="13"/>
        <v>HAL_2_</v>
      </c>
      <c r="S58" s="542" t="str">
        <f t="shared" si="14"/>
        <v>HAL_2_10</v>
      </c>
      <c r="T58" s="542" t="str">
        <f t="shared" si="11"/>
        <v>FInitial_2_</v>
      </c>
      <c r="U58" s="542" t="str">
        <f t="shared" si="15"/>
        <v>CAPINI_</v>
      </c>
      <c r="V58" s="544">
        <f t="shared" si="16"/>
        <v>2</v>
      </c>
      <c r="W58" s="513"/>
      <c r="X58" s="513"/>
      <c r="Y58" s="513"/>
      <c r="Z58" s="539" t="b">
        <f>INDEX(B_InitialSituation!$X$9:$X$156,MATCH($T58,B_InitialSituation!$Q$9:$Q$156,0))</f>
        <v>0</v>
      </c>
      <c r="AA58" s="513"/>
    </row>
    <row r="59" spans="1:27" s="614" customFormat="1" ht="12.75" customHeight="1">
      <c r="A59" s="4"/>
      <c r="B59" s="5"/>
      <c r="C59" s="32">
        <v>11</v>
      </c>
      <c r="D59" s="933" t="str">
        <f aca="true" t="shared" si="17" ref="D59:D64">INDEX(EUconst_FallBackListNames,C59-10)</f>
        <v>Heat benchmark sub-installation, CL</v>
      </c>
      <c r="E59" s="934"/>
      <c r="F59" s="934"/>
      <c r="G59" s="935"/>
      <c r="H59" s="559"/>
      <c r="I59" s="582">
        <f>IF(H59="","",H59*INDEX(B_InitialSituation!$I$9:$I$156,MATCH($Q59,B_InitialSituation!$Q$9:$Q$156,0)))</f>
      </c>
      <c r="J59" s="582">
        <f>IF(H59="","",H59*INDEX(B_InitialSituation!$J$9:$J$156,MATCH($R59,B_InitialSituation!$R$9:$R$156,0)))</f>
      </c>
      <c r="K59" s="560">
        <f t="shared" si="9"/>
      </c>
      <c r="L59" s="582">
        <f>IF(K59="","",K59*INDEX(B_InitialSituation!$I$9:$I$156,MATCH($Q59,B_InitialSituation!$Q$9:$Q$156,0)))</f>
      </c>
      <c r="M59" s="582">
        <f>IF(K59="","",K59*INDEX(B_InitialSituation!$J$9:$J$156,MATCH($R59,B_InitialSituation!$R$9:$R$156,0)))</f>
      </c>
      <c r="N59" s="561">
        <f t="shared" si="10"/>
      </c>
      <c r="O59" s="9"/>
      <c r="P59" s="9"/>
      <c r="Q59" s="542" t="str">
        <f t="shared" si="12"/>
        <v>CAPINI_2_Heat benchmark sub-installation, CL</v>
      </c>
      <c r="R59" s="542" t="str">
        <f t="shared" si="13"/>
        <v>HAL_2_Heat benchmark sub-installation, CL</v>
      </c>
      <c r="S59" s="542" t="str">
        <f t="shared" si="14"/>
        <v>HAL_2_11</v>
      </c>
      <c r="T59" s="542" t="str">
        <f t="shared" si="11"/>
        <v>FInitial_2_Heat benchmark sub-installation, CL</v>
      </c>
      <c r="U59" s="542" t="str">
        <f t="shared" si="15"/>
        <v>CAPINI_Heat benchmark sub-installation, CL</v>
      </c>
      <c r="V59" s="544">
        <f t="shared" si="16"/>
        <v>2</v>
      </c>
      <c r="W59" s="513"/>
      <c r="X59" s="513"/>
      <c r="Y59" s="513"/>
      <c r="Z59" s="539" t="b">
        <f>INDEX(B_InitialSituation!$X$9:$X$156,MATCH($T59,B_InitialSituation!$Q$9:$Q$156,0))</f>
        <v>0</v>
      </c>
      <c r="AA59" s="513"/>
    </row>
    <row r="60" spans="1:27" s="614" customFormat="1" ht="12.75" customHeight="1">
      <c r="A60" s="4"/>
      <c r="B60" s="5"/>
      <c r="C60" s="32">
        <v>12</v>
      </c>
      <c r="D60" s="930" t="str">
        <f t="shared" si="17"/>
        <v>Heat benchmark sub-installation, non-CL</v>
      </c>
      <c r="E60" s="931"/>
      <c r="F60" s="931"/>
      <c r="G60" s="932"/>
      <c r="H60" s="562"/>
      <c r="I60" s="580">
        <f>IF(H60="","",H60*INDEX(B_InitialSituation!$I$9:$I$156,MATCH($Q60,B_InitialSituation!$Q$9:$Q$156,0)))</f>
      </c>
      <c r="J60" s="580">
        <f>IF(H60="","",H60*INDEX(B_InitialSituation!$J$9:$J$156,MATCH($R60,B_InitialSituation!$R$9:$R$156,0)))</f>
      </c>
      <c r="K60" s="563">
        <f t="shared" si="9"/>
      </c>
      <c r="L60" s="580">
        <f>IF(K60="","",K60*INDEX(B_InitialSituation!$I$9:$I$156,MATCH($Q60,B_InitialSituation!$Q$9:$Q$156,0)))</f>
      </c>
      <c r="M60" s="580">
        <f>IF(K60="","",K60*INDEX(B_InitialSituation!$J$9:$J$156,MATCH($R60,B_InitialSituation!$R$9:$R$156,0)))</f>
      </c>
      <c r="N60" s="564">
        <f t="shared" si="10"/>
      </c>
      <c r="O60" s="9"/>
      <c r="P60" s="9"/>
      <c r="Q60" s="542" t="str">
        <f t="shared" si="12"/>
        <v>CAPINI_2_Heat benchmark sub-installation, non-CL</v>
      </c>
      <c r="R60" s="542" t="str">
        <f t="shared" si="13"/>
        <v>HAL_2_Heat benchmark sub-installation, non-CL</v>
      </c>
      <c r="S60" s="542" t="str">
        <f t="shared" si="14"/>
        <v>HAL_2_12</v>
      </c>
      <c r="T60" s="542" t="str">
        <f t="shared" si="11"/>
        <v>FInitial_2_Heat benchmark sub-installation, non-CL</v>
      </c>
      <c r="U60" s="542" t="str">
        <f t="shared" si="15"/>
        <v>CAPINI_Heat benchmark sub-installation, non-CL</v>
      </c>
      <c r="V60" s="544">
        <f t="shared" si="16"/>
        <v>2</v>
      </c>
      <c r="W60" s="513"/>
      <c r="X60" s="513"/>
      <c r="Y60" s="513"/>
      <c r="Z60" s="539" t="b">
        <f>INDEX(B_InitialSituation!$X$9:$X$156,MATCH($T60,B_InitialSituation!$Q$9:$Q$156,0))</f>
        <v>0</v>
      </c>
      <c r="AA60" s="513"/>
    </row>
    <row r="61" spans="1:27" s="614" customFormat="1" ht="12.75" customHeight="1">
      <c r="A61" s="4"/>
      <c r="B61" s="5"/>
      <c r="C61" s="32">
        <v>13</v>
      </c>
      <c r="D61" s="930" t="str">
        <f t="shared" si="17"/>
        <v>Fuel benchmark sub-installation, CL</v>
      </c>
      <c r="E61" s="931"/>
      <c r="F61" s="931"/>
      <c r="G61" s="932"/>
      <c r="H61" s="562"/>
      <c r="I61" s="580">
        <f>IF(H61="","",H61*INDEX(B_InitialSituation!$I$9:$I$156,MATCH($Q61,B_InitialSituation!$Q$9:$Q$156,0)))</f>
      </c>
      <c r="J61" s="580">
        <f>IF(H61="","",H61*INDEX(B_InitialSituation!$J$9:$J$156,MATCH($R61,B_InitialSituation!$R$9:$R$156,0)))</f>
      </c>
      <c r="K61" s="563">
        <f t="shared" si="9"/>
      </c>
      <c r="L61" s="580">
        <f>IF(K61="","",K61*INDEX(B_InitialSituation!$I$9:$I$156,MATCH($Q61,B_InitialSituation!$Q$9:$Q$156,0)))</f>
      </c>
      <c r="M61" s="580">
        <f>IF(K61="","",K61*INDEX(B_InitialSituation!$J$9:$J$156,MATCH($R61,B_InitialSituation!$R$9:$R$156,0)))</f>
      </c>
      <c r="N61" s="564">
        <f t="shared" si="10"/>
      </c>
      <c r="O61" s="9"/>
      <c r="P61" s="9"/>
      <c r="Q61" s="542" t="str">
        <f t="shared" si="12"/>
        <v>CAPINI_2_Fuel benchmark sub-installation, CL</v>
      </c>
      <c r="R61" s="542" t="str">
        <f t="shared" si="13"/>
        <v>HAL_2_Fuel benchmark sub-installation, CL</v>
      </c>
      <c r="S61" s="542" t="str">
        <f t="shared" si="14"/>
        <v>HAL_2_13</v>
      </c>
      <c r="T61" s="542" t="str">
        <f t="shared" si="11"/>
        <v>FInitial_2_Fuel benchmark sub-installation, CL</v>
      </c>
      <c r="U61" s="542" t="str">
        <f t="shared" si="15"/>
        <v>CAPINI_Fuel benchmark sub-installation, CL</v>
      </c>
      <c r="V61" s="544">
        <f t="shared" si="16"/>
        <v>2</v>
      </c>
      <c r="W61" s="513"/>
      <c r="X61" s="513"/>
      <c r="Y61" s="513"/>
      <c r="Z61" s="539" t="b">
        <f>INDEX(B_InitialSituation!$X$9:$X$156,MATCH($T61,B_InitialSituation!$Q$9:$Q$156,0))</f>
        <v>0</v>
      </c>
      <c r="AA61" s="513"/>
    </row>
    <row r="62" spans="1:27" s="614" customFormat="1" ht="12.75" customHeight="1">
      <c r="A62" s="4"/>
      <c r="B62" s="5"/>
      <c r="C62" s="32">
        <v>14</v>
      </c>
      <c r="D62" s="930" t="str">
        <f t="shared" si="17"/>
        <v>Fuel benchmark sub-installation, non-CL</v>
      </c>
      <c r="E62" s="931"/>
      <c r="F62" s="931"/>
      <c r="G62" s="932"/>
      <c r="H62" s="562"/>
      <c r="I62" s="580">
        <f>IF(H62="","",H62*INDEX(B_InitialSituation!$I$9:$I$156,MATCH($Q62,B_InitialSituation!$Q$9:$Q$156,0)))</f>
      </c>
      <c r="J62" s="580">
        <f>IF(H62="","",H62*INDEX(B_InitialSituation!$J$9:$J$156,MATCH($R62,B_InitialSituation!$R$9:$R$156,0)))</f>
      </c>
      <c r="K62" s="563">
        <f t="shared" si="9"/>
      </c>
      <c r="L62" s="580">
        <f>IF(K62="","",K62*INDEX(B_InitialSituation!$I$9:$I$156,MATCH($Q62,B_InitialSituation!$Q$9:$Q$156,0)))</f>
      </c>
      <c r="M62" s="580">
        <f>IF(K62="","",K62*INDEX(B_InitialSituation!$J$9:$J$156,MATCH($R62,B_InitialSituation!$R$9:$R$156,0)))</f>
      </c>
      <c r="N62" s="564">
        <f t="shared" si="10"/>
      </c>
      <c r="O62" s="9"/>
      <c r="P62" s="9"/>
      <c r="Q62" s="542" t="str">
        <f t="shared" si="12"/>
        <v>CAPINI_2_Fuel benchmark sub-installation, non-CL</v>
      </c>
      <c r="R62" s="542" t="str">
        <f t="shared" si="13"/>
        <v>HAL_2_Fuel benchmark sub-installation, non-CL</v>
      </c>
      <c r="S62" s="542" t="str">
        <f t="shared" si="14"/>
        <v>HAL_2_14</v>
      </c>
      <c r="T62" s="542" t="str">
        <f t="shared" si="11"/>
        <v>FInitial_2_Fuel benchmark sub-installation, non-CL</v>
      </c>
      <c r="U62" s="542" t="str">
        <f t="shared" si="15"/>
        <v>CAPINI_Fuel benchmark sub-installation, non-CL</v>
      </c>
      <c r="V62" s="544">
        <f t="shared" si="16"/>
        <v>2</v>
      </c>
      <c r="W62" s="513"/>
      <c r="X62" s="513"/>
      <c r="Y62" s="513"/>
      <c r="Z62" s="539" t="b">
        <f>INDEX(B_InitialSituation!$X$9:$X$156,MATCH($T62,B_InitialSituation!$Q$9:$Q$156,0))</f>
        <v>0</v>
      </c>
      <c r="AA62" s="513"/>
    </row>
    <row r="63" spans="1:27" s="614" customFormat="1" ht="12.75" customHeight="1">
      <c r="A63" s="4"/>
      <c r="B63" s="5"/>
      <c r="C63" s="32">
        <v>15</v>
      </c>
      <c r="D63" s="930" t="str">
        <f t="shared" si="17"/>
        <v>Process emissions sub-installation, CL</v>
      </c>
      <c r="E63" s="931"/>
      <c r="F63" s="931"/>
      <c r="G63" s="932"/>
      <c r="H63" s="562"/>
      <c r="I63" s="580">
        <f>IF(H63="","",H63*INDEX(B_InitialSituation!$I$9:$I$156,MATCH($Q63,B_InitialSituation!$Q$9:$Q$156,0)))</f>
      </c>
      <c r="J63" s="580">
        <f>IF(H63="","",H63*INDEX(B_InitialSituation!$J$9:$J$156,MATCH($R63,B_InitialSituation!$R$9:$R$156,0)))</f>
      </c>
      <c r="K63" s="563">
        <f t="shared" si="9"/>
      </c>
      <c r="L63" s="580">
        <f>IF(K63="","",K63*INDEX(B_InitialSituation!$I$9:$I$156,MATCH($Q63,B_InitialSituation!$Q$9:$Q$156,0)))</f>
      </c>
      <c r="M63" s="580">
        <f>IF(K63="","",K63*INDEX(B_InitialSituation!$J$9:$J$156,MATCH($R63,B_InitialSituation!$R$9:$R$156,0)))</f>
      </c>
      <c r="N63" s="564">
        <f t="shared" si="10"/>
      </c>
      <c r="O63" s="9"/>
      <c r="P63" s="9"/>
      <c r="Q63" s="542" t="str">
        <f t="shared" si="12"/>
        <v>CAPINI_2_Process emissions sub-installation, CL</v>
      </c>
      <c r="R63" s="542" t="str">
        <f t="shared" si="13"/>
        <v>HAL_2_Process emissions sub-installation, CL</v>
      </c>
      <c r="S63" s="542" t="str">
        <f t="shared" si="14"/>
        <v>HAL_2_15</v>
      </c>
      <c r="T63" s="542" t="str">
        <f t="shared" si="11"/>
        <v>FInitial_2_Process emissions sub-installation, CL</v>
      </c>
      <c r="U63" s="542" t="str">
        <f t="shared" si="15"/>
        <v>CAPINI_Process emissions sub-installation, CL</v>
      </c>
      <c r="V63" s="544">
        <f t="shared" si="16"/>
        <v>2</v>
      </c>
      <c r="W63" s="513"/>
      <c r="X63" s="513"/>
      <c r="Y63" s="513"/>
      <c r="Z63" s="539" t="b">
        <f>INDEX(B_InitialSituation!$X$9:$X$156,MATCH($T63,B_InitialSituation!$Q$9:$Q$156,0))</f>
        <v>0</v>
      </c>
      <c r="AA63" s="513"/>
    </row>
    <row r="64" spans="1:27" s="614" customFormat="1" ht="12.75" customHeight="1">
      <c r="A64" s="4"/>
      <c r="B64" s="5"/>
      <c r="C64" s="28">
        <v>16</v>
      </c>
      <c r="D64" s="930" t="str">
        <f t="shared" si="17"/>
        <v>Process emissions sub-installation, non-CL</v>
      </c>
      <c r="E64" s="931"/>
      <c r="F64" s="931"/>
      <c r="G64" s="932"/>
      <c r="H64" s="568"/>
      <c r="I64" s="583">
        <f>IF(H64="","",H64*INDEX(B_InitialSituation!$I$9:$I$156,MATCH($Q64,B_InitialSituation!$Q$9:$Q$156,0)))</f>
      </c>
      <c r="J64" s="583">
        <f>IF(H64="","",H64*INDEX(B_InitialSituation!$J$9:$J$156,MATCH($R64,B_InitialSituation!$R$9:$R$156,0)))</f>
      </c>
      <c r="K64" s="569">
        <f t="shared" si="9"/>
      </c>
      <c r="L64" s="583">
        <f>IF(K64="","",K64*INDEX(B_InitialSituation!$I$9:$I$156,MATCH($Q64,B_InitialSituation!$Q$9:$Q$156,0)))</f>
      </c>
      <c r="M64" s="583">
        <f>IF(K64="","",K64*INDEX(B_InitialSituation!$J$9:$J$156,MATCH($R64,B_InitialSituation!$R$9:$R$156,0)))</f>
      </c>
      <c r="N64" s="570">
        <f t="shared" si="10"/>
      </c>
      <c r="O64" s="9"/>
      <c r="P64" s="9"/>
      <c r="Q64" s="542" t="str">
        <f t="shared" si="12"/>
        <v>CAPINI_2_Process emissions sub-installation, non-CL</v>
      </c>
      <c r="R64" s="542" t="str">
        <f t="shared" si="13"/>
        <v>HAL_2_Process emissions sub-installation, non-CL</v>
      </c>
      <c r="S64" s="542" t="str">
        <f t="shared" si="14"/>
        <v>HAL_2_16</v>
      </c>
      <c r="T64" s="542" t="str">
        <f t="shared" si="11"/>
        <v>FInitial_2_Process emissions sub-installation, non-CL</v>
      </c>
      <c r="U64" s="542" t="str">
        <f t="shared" si="15"/>
        <v>CAPINI_Process emissions sub-installation, non-CL</v>
      </c>
      <c r="V64" s="544">
        <f t="shared" si="16"/>
        <v>2</v>
      </c>
      <c r="W64" s="513"/>
      <c r="X64" s="513"/>
      <c r="Y64" s="513"/>
      <c r="Z64" s="539" t="b">
        <f>INDEX(B_InitialSituation!$X$9:$X$156,MATCH($T64,B_InitialSituation!$Q$9:$Q$156,0))</f>
        <v>0</v>
      </c>
      <c r="AA64" s="513"/>
    </row>
    <row r="65" spans="1:27" s="614" customFormat="1" ht="12.75" customHeight="1" thickBot="1">
      <c r="A65" s="4"/>
      <c r="B65" s="5"/>
      <c r="C65" s="503">
        <v>17</v>
      </c>
      <c r="D65" s="927" t="str">
        <f>EUconst_PrivateHouseholds</f>
        <v>Private households</v>
      </c>
      <c r="E65" s="928"/>
      <c r="F65" s="928"/>
      <c r="G65" s="929"/>
      <c r="H65" s="552"/>
      <c r="I65" s="571"/>
      <c r="J65" s="571"/>
      <c r="K65" s="555">
        <f t="shared" si="9"/>
      </c>
      <c r="L65" s="571"/>
      <c r="M65" s="571"/>
      <c r="N65" s="558">
        <f t="shared" si="10"/>
      </c>
      <c r="O65" s="9"/>
      <c r="P65" s="9"/>
      <c r="Q65" s="531"/>
      <c r="R65" s="531"/>
      <c r="S65" s="513"/>
      <c r="T65" s="542" t="str">
        <f t="shared" si="11"/>
        <v>FInitial_2_Private households</v>
      </c>
      <c r="U65" s="513"/>
      <c r="V65" s="545">
        <f t="shared" si="16"/>
        <v>2</v>
      </c>
      <c r="W65" s="513"/>
      <c r="X65" s="513"/>
      <c r="Y65" s="513"/>
      <c r="Z65" s="539" t="b">
        <f>INDEX(B_InitialSituation!$X$9:$X$156,MATCH($T65,B_InitialSituation!$Q$9:$Q$156,0))</f>
        <v>0</v>
      </c>
      <c r="AA65" s="513"/>
    </row>
    <row r="66" spans="1:27" s="614" customFormat="1" ht="38.25" customHeight="1">
      <c r="A66" s="4"/>
      <c r="B66" s="5"/>
      <c r="C66" s="7"/>
      <c r="D66" s="5"/>
      <c r="E66" s="5"/>
      <c r="F66" s="5"/>
      <c r="G66" s="5"/>
      <c r="H66" s="5"/>
      <c r="I66" s="5"/>
      <c r="J66" s="5"/>
      <c r="K66" s="5"/>
      <c r="L66" s="5"/>
      <c r="M66" s="9"/>
      <c r="N66" s="9"/>
      <c r="O66" s="366"/>
      <c r="P66" s="9"/>
      <c r="Q66" s="531"/>
      <c r="R66" s="513"/>
      <c r="S66" s="513"/>
      <c r="T66" s="513"/>
      <c r="U66" s="513"/>
      <c r="V66" s="513"/>
      <c r="W66" s="513"/>
      <c r="X66" s="513"/>
      <c r="Y66" s="513"/>
      <c r="Z66" s="513"/>
      <c r="AA66" s="513"/>
    </row>
    <row r="67" spans="1:27" s="614" customFormat="1" ht="12.75">
      <c r="A67" s="4"/>
      <c r="B67" s="20"/>
      <c r="C67" s="20"/>
      <c r="D67" s="732" t="str">
        <f>HYPERLINK(R67,Translations!$B$336)</f>
        <v>&lt;&lt;&lt; Click here to proceed to next sheet &gt;&gt;&gt; </v>
      </c>
      <c r="E67" s="733"/>
      <c r="F67" s="733"/>
      <c r="G67" s="733"/>
      <c r="H67" s="733"/>
      <c r="I67" s="733"/>
      <c r="J67" s="733"/>
      <c r="K67" s="733"/>
      <c r="L67" s="733"/>
      <c r="M67" s="733"/>
      <c r="N67" s="733"/>
      <c r="O67" s="20"/>
      <c r="P67" s="20"/>
      <c r="Q67" s="386"/>
      <c r="R67" s="542" t="str">
        <f>$W$2</f>
        <v>#D_Summary!$C$6</v>
      </c>
      <c r="S67" s="386"/>
      <c r="T67" s="386"/>
      <c r="U67" s="386"/>
      <c r="V67" s="386"/>
      <c r="W67" s="386"/>
      <c r="X67" s="386"/>
      <c r="Y67" s="386"/>
      <c r="Z67" s="386"/>
      <c r="AA67" s="513"/>
    </row>
    <row r="68" spans="1:27" s="614" customFormat="1" ht="12.75" customHeight="1">
      <c r="A68" s="4"/>
      <c r="B68" s="5"/>
      <c r="C68" s="7"/>
      <c r="D68" s="5"/>
      <c r="E68" s="5"/>
      <c r="F68" s="5"/>
      <c r="G68" s="5"/>
      <c r="H68" s="5"/>
      <c r="I68" s="5"/>
      <c r="J68" s="5"/>
      <c r="K68" s="5"/>
      <c r="L68" s="5"/>
      <c r="M68" s="9"/>
      <c r="N68" s="9"/>
      <c r="O68" s="366"/>
      <c r="P68" s="9"/>
      <c r="Q68" s="548" t="s">
        <v>496</v>
      </c>
      <c r="R68" s="548" t="s">
        <v>496</v>
      </c>
      <c r="S68" s="548" t="s">
        <v>496</v>
      </c>
      <c r="T68" s="548" t="s">
        <v>496</v>
      </c>
      <c r="U68" s="548" t="s">
        <v>496</v>
      </c>
      <c r="V68" s="548" t="s">
        <v>496</v>
      </c>
      <c r="W68" s="548" t="s">
        <v>496</v>
      </c>
      <c r="X68" s="548" t="s">
        <v>496</v>
      </c>
      <c r="Y68" s="548" t="s">
        <v>496</v>
      </c>
      <c r="Z68" s="548" t="s">
        <v>496</v>
      </c>
      <c r="AA68" s="513"/>
    </row>
    <row r="69" spans="1:27" s="614" customFormat="1" ht="12.75" customHeight="1">
      <c r="A69" s="4"/>
      <c r="B69" s="5"/>
      <c r="C69" s="7"/>
      <c r="D69" s="5"/>
      <c r="E69" s="5"/>
      <c r="F69" s="5"/>
      <c r="G69" s="5"/>
      <c r="H69" s="5"/>
      <c r="I69" s="5"/>
      <c r="J69" s="5"/>
      <c r="K69" s="5"/>
      <c r="L69" s="5"/>
      <c r="M69" s="9"/>
      <c r="N69" s="9"/>
      <c r="O69" s="366"/>
      <c r="P69" s="9"/>
      <c r="Q69" s="531"/>
      <c r="R69" s="546"/>
      <c r="S69" s="513"/>
      <c r="T69" s="513"/>
      <c r="U69" s="513"/>
      <c r="V69" s="513"/>
      <c r="W69" s="513"/>
      <c r="X69" s="513"/>
      <c r="Y69" s="513"/>
      <c r="Z69" s="513"/>
      <c r="AA69" s="513"/>
    </row>
    <row r="70" spans="1:27" s="614" customFormat="1" ht="12.75" customHeight="1">
      <c r="A70" s="4"/>
      <c r="B70" s="5"/>
      <c r="C70" s="7"/>
      <c r="D70" s="5"/>
      <c r="E70" s="5"/>
      <c r="F70" s="5"/>
      <c r="G70" s="5"/>
      <c r="H70" s="5"/>
      <c r="I70" s="5"/>
      <c r="J70" s="5"/>
      <c r="K70" s="5"/>
      <c r="L70" s="5"/>
      <c r="M70" s="9"/>
      <c r="N70" s="9"/>
      <c r="O70" s="366"/>
      <c r="P70" s="9"/>
      <c r="Q70" s="531"/>
      <c r="R70" s="513"/>
      <c r="S70" s="513"/>
      <c r="T70" s="513"/>
      <c r="U70" s="513"/>
      <c r="V70" s="513"/>
      <c r="W70" s="513"/>
      <c r="X70" s="513"/>
      <c r="Y70" s="513"/>
      <c r="Z70" s="513"/>
      <c r="AA70" s="513"/>
    </row>
    <row r="71" spans="1:27" s="614" customFormat="1" ht="12.75" customHeight="1">
      <c r="A71" s="4"/>
      <c r="B71" s="5"/>
      <c r="C71" s="7"/>
      <c r="D71" s="5"/>
      <c r="E71" s="5"/>
      <c r="F71" s="5"/>
      <c r="G71" s="5"/>
      <c r="H71" s="5"/>
      <c r="I71" s="5"/>
      <c r="J71" s="5"/>
      <c r="K71" s="5"/>
      <c r="L71" s="5"/>
      <c r="M71" s="9"/>
      <c r="N71" s="9"/>
      <c r="O71" s="366"/>
      <c r="P71" s="9"/>
      <c r="Q71" s="531"/>
      <c r="R71" s="513"/>
      <c r="S71" s="513"/>
      <c r="T71" s="513"/>
      <c r="U71" s="513"/>
      <c r="V71" s="513"/>
      <c r="W71" s="513"/>
      <c r="X71" s="513"/>
      <c r="Y71" s="513"/>
      <c r="Z71" s="513"/>
      <c r="AA71" s="513"/>
    </row>
    <row r="72" spans="1:27" s="614" customFormat="1" ht="12.75" customHeight="1">
      <c r="A72" s="4"/>
      <c r="B72" s="5"/>
      <c r="C72" s="7"/>
      <c r="D72" s="5"/>
      <c r="E72" s="5"/>
      <c r="F72" s="5"/>
      <c r="G72" s="5"/>
      <c r="H72" s="5"/>
      <c r="I72" s="5"/>
      <c r="J72" s="5"/>
      <c r="K72" s="5"/>
      <c r="L72" s="5"/>
      <c r="M72" s="9"/>
      <c r="N72" s="9"/>
      <c r="O72" s="366"/>
      <c r="P72" s="9"/>
      <c r="Q72" s="531"/>
      <c r="R72" s="513"/>
      <c r="S72" s="513"/>
      <c r="T72" s="513"/>
      <c r="U72" s="513"/>
      <c r="V72" s="513"/>
      <c r="W72" s="513"/>
      <c r="X72" s="513"/>
      <c r="Y72" s="513"/>
      <c r="Z72" s="513"/>
      <c r="AA72" s="513"/>
    </row>
    <row r="73" spans="1:27" s="614" customFormat="1" ht="12.75" customHeight="1">
      <c r="A73" s="4"/>
      <c r="B73" s="615"/>
      <c r="C73" s="613"/>
      <c r="D73" s="615"/>
      <c r="E73" s="615"/>
      <c r="F73" s="615"/>
      <c r="G73" s="615"/>
      <c r="H73" s="615"/>
      <c r="I73" s="615"/>
      <c r="J73" s="615"/>
      <c r="K73" s="615"/>
      <c r="L73" s="615"/>
      <c r="M73" s="611"/>
      <c r="N73" s="611"/>
      <c r="O73" s="619"/>
      <c r="P73" s="611"/>
      <c r="Q73" s="531"/>
      <c r="R73" s="513"/>
      <c r="S73" s="513"/>
      <c r="T73" s="513"/>
      <c r="U73" s="513"/>
      <c r="V73" s="513"/>
      <c r="W73" s="513"/>
      <c r="X73" s="513"/>
      <c r="Y73" s="513"/>
      <c r="Z73" s="513"/>
      <c r="AA73" s="513"/>
    </row>
  </sheetData>
  <sheetProtection sheet="1" objects="1" scenarios="1" formatCells="0" formatColumns="0" formatRows="0"/>
  <mergeCells count="76">
    <mergeCell ref="D60:G60"/>
    <mergeCell ref="D40:N40"/>
    <mergeCell ref="D61:G61"/>
    <mergeCell ref="D62:G62"/>
    <mergeCell ref="D63:G63"/>
    <mergeCell ref="D54:G54"/>
    <mergeCell ref="H43:J43"/>
    <mergeCell ref="H46:J46"/>
    <mergeCell ref="K46:M46"/>
    <mergeCell ref="D58:G58"/>
    <mergeCell ref="D30:G30"/>
    <mergeCell ref="D31:G31"/>
    <mergeCell ref="D32:G32"/>
    <mergeCell ref="D53:G53"/>
    <mergeCell ref="D27:G27"/>
    <mergeCell ref="D28:G28"/>
    <mergeCell ref="D33:G33"/>
    <mergeCell ref="D34:G34"/>
    <mergeCell ref="D35:G35"/>
    <mergeCell ref="D36:G36"/>
    <mergeCell ref="D37:G37"/>
    <mergeCell ref="D47:F47"/>
    <mergeCell ref="D67:N67"/>
    <mergeCell ref="D12:M12"/>
    <mergeCell ref="D64:G64"/>
    <mergeCell ref="D65:G65"/>
    <mergeCell ref="D59:G59"/>
    <mergeCell ref="D55:G55"/>
    <mergeCell ref="D56:G56"/>
    <mergeCell ref="D57:G57"/>
    <mergeCell ref="D52:G52"/>
    <mergeCell ref="D25:G25"/>
    <mergeCell ref="D26:G26"/>
    <mergeCell ref="D29:G29"/>
    <mergeCell ref="H18:J18"/>
    <mergeCell ref="K18:M18"/>
    <mergeCell ref="D48:G48"/>
    <mergeCell ref="D49:G49"/>
    <mergeCell ref="D50:G50"/>
    <mergeCell ref="D51:G51"/>
    <mergeCell ref="D10:N10"/>
    <mergeCell ref="D21:G21"/>
    <mergeCell ref="D22:G22"/>
    <mergeCell ref="D23:G23"/>
    <mergeCell ref="D24:G24"/>
    <mergeCell ref="H15:J15"/>
    <mergeCell ref="D19:F19"/>
    <mergeCell ref="D20:G20"/>
    <mergeCell ref="E4:F4"/>
    <mergeCell ref="G4:H4"/>
    <mergeCell ref="I4:J4"/>
    <mergeCell ref="K4:L4"/>
    <mergeCell ref="M4:N4"/>
    <mergeCell ref="D6:N6"/>
    <mergeCell ref="B2:D4"/>
    <mergeCell ref="G2:H2"/>
    <mergeCell ref="I2:J2"/>
    <mergeCell ref="K2:L2"/>
    <mergeCell ref="W3:X3"/>
    <mergeCell ref="Y3:Z3"/>
    <mergeCell ref="M2:N2"/>
    <mergeCell ref="E3:F3"/>
    <mergeCell ref="G3:H3"/>
    <mergeCell ref="I3:J3"/>
    <mergeCell ref="K3:L3"/>
    <mergeCell ref="M3:N3"/>
    <mergeCell ref="S4:T4"/>
    <mergeCell ref="U4:V4"/>
    <mergeCell ref="W4:X4"/>
    <mergeCell ref="Y4:Z4"/>
    <mergeCell ref="S2:T2"/>
    <mergeCell ref="U2:V2"/>
    <mergeCell ref="W2:X2"/>
    <mergeCell ref="Y2:Z2"/>
    <mergeCell ref="S3:T3"/>
    <mergeCell ref="U3:V3"/>
  </mergeCells>
  <conditionalFormatting sqref="H20:H37 H48:H65">
    <cfRule type="expression" priority="1" dxfId="20" stopIfTrue="1">
      <formula>$Z20=FALSE</formula>
    </cfRule>
  </conditionalFormatting>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20">
    <tabColor rgb="FFFF0000"/>
  </sheetPr>
  <dimension ref="A1:AQ144"/>
  <sheetViews>
    <sheetView zoomScalePageLayoutView="0" workbookViewId="0" topLeftCell="A1">
      <pane ySplit="4" topLeftCell="A5" activePane="bottomLeft" state="frozen"/>
      <selection pane="topLeft" activeCell="F27" sqref="F27:I27"/>
      <selection pane="bottomLeft" activeCell="I2" sqref="I2:J2"/>
    </sheetView>
  </sheetViews>
  <sheetFormatPr defaultColWidth="11.421875" defaultRowHeight="12.75"/>
  <cols>
    <col min="1" max="1" width="4.7109375" style="626" hidden="1" customWidth="1"/>
    <col min="2" max="2" width="2.7109375" style="626" customWidth="1"/>
    <col min="3" max="4" width="4.7109375" style="626" customWidth="1"/>
    <col min="5" max="14" width="12.7109375" style="626" customWidth="1"/>
    <col min="15" max="15" width="4.7109375" style="626" customWidth="1"/>
    <col min="16" max="16" width="18.421875" style="626" hidden="1" customWidth="1"/>
    <col min="17" max="43" width="11.421875" style="605" hidden="1" customWidth="1"/>
    <col min="44" max="16384" width="11.421875" style="626" customWidth="1"/>
  </cols>
  <sheetData>
    <row r="1" spans="1:43" s="4" customFormat="1" ht="13.5" hidden="1" thickBot="1">
      <c r="A1" s="4" t="str">
        <f>Translations!$B$1507</f>
        <v>ausblenden</v>
      </c>
      <c r="P1" s="370" t="str">
        <f>Translations!$B$1507</f>
        <v>ausblenden</v>
      </c>
      <c r="Q1" s="513" t="str">
        <f>Translations!$B$1507</f>
        <v>ausblenden</v>
      </c>
      <c r="R1" s="513" t="str">
        <f>Translations!$B$1507</f>
        <v>ausblenden</v>
      </c>
      <c r="S1" s="530" t="str">
        <f>Translations!$B$1507</f>
        <v>ausblenden</v>
      </c>
      <c r="T1" s="513" t="str">
        <f>Translations!$B$1507</f>
        <v>ausblenden</v>
      </c>
      <c r="U1" s="513" t="str">
        <f>Translations!$B$1507</f>
        <v>ausblenden</v>
      </c>
      <c r="V1" s="513" t="str">
        <f>Translations!$B$1507</f>
        <v>ausblenden</v>
      </c>
      <c r="W1" s="513" t="str">
        <f>Translations!$B$1507</f>
        <v>ausblenden</v>
      </c>
      <c r="X1" s="513" t="str">
        <f>Translations!$B$1507</f>
        <v>ausblenden</v>
      </c>
      <c r="Y1" s="513" t="str">
        <f>Translations!$B$1507</f>
        <v>ausblenden</v>
      </c>
      <c r="Z1" s="513" t="str">
        <f>Translations!$B$1507</f>
        <v>ausblenden</v>
      </c>
      <c r="AA1" s="513" t="str">
        <f>Translations!$B$1507</f>
        <v>ausblenden</v>
      </c>
      <c r="AB1" s="513" t="str">
        <f>Translations!$B$1507</f>
        <v>ausblenden</v>
      </c>
      <c r="AC1" s="513" t="str">
        <f>Translations!$B$1507</f>
        <v>ausblenden</v>
      </c>
      <c r="AD1" s="513" t="str">
        <f>Translations!$B$1507</f>
        <v>ausblenden</v>
      </c>
      <c r="AE1" s="513" t="str">
        <f>Translations!$B$1507</f>
        <v>ausblenden</v>
      </c>
      <c r="AF1" s="513" t="str">
        <f>Translations!$B$1507</f>
        <v>ausblenden</v>
      </c>
      <c r="AG1" s="513" t="str">
        <f>Translations!$B$1507</f>
        <v>ausblenden</v>
      </c>
      <c r="AH1" s="513" t="str">
        <f>Translations!$B$1507</f>
        <v>ausblenden</v>
      </c>
      <c r="AI1" s="513" t="str">
        <f>Translations!$B$1507</f>
        <v>ausblenden</v>
      </c>
      <c r="AJ1" s="513" t="str">
        <f>Translations!$B$1507</f>
        <v>ausblenden</v>
      </c>
      <c r="AK1" s="513" t="str">
        <f>Translations!$B$1507</f>
        <v>ausblenden</v>
      </c>
      <c r="AL1" s="513" t="str">
        <f>Translations!$B$1507</f>
        <v>ausblenden</v>
      </c>
      <c r="AM1" s="513" t="str">
        <f>Translations!$B$1507</f>
        <v>ausblenden</v>
      </c>
      <c r="AN1" s="513" t="str">
        <f>Translations!$B$1507</f>
        <v>ausblenden</v>
      </c>
      <c r="AO1" s="513" t="str">
        <f>Translations!$B$1507</f>
        <v>ausblenden</v>
      </c>
      <c r="AP1" s="513" t="str">
        <f>Translations!$B$1507</f>
        <v>ausblenden</v>
      </c>
      <c r="AQ1" s="513" t="str">
        <f>Translations!$B$1507</f>
        <v>ausblenden</v>
      </c>
    </row>
    <row r="2" spans="1:43" s="614" customFormat="1" ht="13.5" customHeight="1" thickBot="1">
      <c r="A2" s="4"/>
      <c r="B2" s="860" t="str">
        <f>Translations!$B$1586</f>
        <v>D. Summary</v>
      </c>
      <c r="C2" s="861"/>
      <c r="D2" s="862"/>
      <c r="E2" s="205" t="str">
        <f>Translations!$B$276</f>
        <v>Navigation area:</v>
      </c>
      <c r="F2" s="203"/>
      <c r="G2" s="668" t="str">
        <f>Translations!$B$290</f>
        <v>Table of contents</v>
      </c>
      <c r="H2" s="655"/>
      <c r="I2" s="655" t="str">
        <f>HYPERLINK(U2,Translations!$B$291)</f>
        <v>Previous sheet</v>
      </c>
      <c r="J2" s="655"/>
      <c r="K2" s="655"/>
      <c r="L2" s="655"/>
      <c r="M2" s="655"/>
      <c r="N2" s="662"/>
      <c r="O2" s="9"/>
      <c r="P2" s="9"/>
      <c r="Q2" s="531" t="s">
        <v>1998</v>
      </c>
      <c r="R2" s="531"/>
      <c r="S2" s="657"/>
      <c r="T2" s="658"/>
      <c r="U2" s="659" t="str">
        <f>"#"&amp;ADDRESS(ROW(C6),COLUMN(C6),,,C_MergerSplitTransfer!Q3)</f>
        <v>#C_MergerSplitTransfer!$C$6</v>
      </c>
      <c r="V2" s="658"/>
      <c r="W2" s="659" t="str">
        <f>"#"&amp;ADDRESS(ROW(C6),COLUMN(C6),,,C_MergerSplitTransfer!R2)</f>
        <v>#!$C$6</v>
      </c>
      <c r="X2" s="658"/>
      <c r="Y2" s="659" t="str">
        <f>"#"&amp;ADDRESS(ROW(C6),COLUMN(C6),,,D_Summary!Q3)</f>
        <v>#D_Summary!$C$6</v>
      </c>
      <c r="Z2" s="660"/>
      <c r="AA2" s="513"/>
      <c r="AB2" s="513"/>
      <c r="AC2" s="513"/>
      <c r="AD2" s="513"/>
      <c r="AE2" s="513"/>
      <c r="AF2" s="513"/>
      <c r="AG2" s="513"/>
      <c r="AH2" s="513"/>
      <c r="AI2" s="513"/>
      <c r="AJ2" s="513"/>
      <c r="AK2" s="513"/>
      <c r="AL2" s="513"/>
      <c r="AM2" s="513"/>
      <c r="AN2" s="513"/>
      <c r="AO2" s="513"/>
      <c r="AP2" s="513"/>
      <c r="AQ2" s="513"/>
    </row>
    <row r="3" spans="1:43" s="614" customFormat="1" ht="13.5" thickBot="1">
      <c r="A3" s="4"/>
      <c r="B3" s="863"/>
      <c r="C3" s="864"/>
      <c r="D3" s="865"/>
      <c r="E3" s="655" t="str">
        <f>HYPERLINK(R3,Translations!$B$279)</f>
        <v>Top of sheet</v>
      </c>
      <c r="F3" s="703"/>
      <c r="G3" s="669" t="str">
        <f>HYPERLINK(S3,Translations!$B$1504)</f>
        <v>Installations involved</v>
      </c>
      <c r="H3" s="670"/>
      <c r="I3" s="705" t="str">
        <f>HYPERLINK(U3,D26)</f>
        <v>Installation data</v>
      </c>
      <c r="J3" s="670"/>
      <c r="K3" s="705" t="str">
        <f>HYPERLINK(W3,D65)</f>
        <v>New allocation</v>
      </c>
      <c r="L3" s="670"/>
      <c r="M3" s="705"/>
      <c r="N3" s="670"/>
      <c r="O3" s="9"/>
      <c r="P3" s="9"/>
      <c r="Q3" s="590" t="str">
        <f ca="1">IF(ISERROR(CELL("filename",Q1)),"D_Summary",MID(CELL("filename",Q1),FIND("]",CELL("filename",Q1))+1,1024))</f>
        <v>D_Summary</v>
      </c>
      <c r="R3" s="591" t="str">
        <f>"#"&amp;ADDRESS(ROW(C6),COLUMN(C6))</f>
        <v>#$C$6</v>
      </c>
      <c r="S3" s="728" t="str">
        <f>"#"&amp;ADDRESS(ROW(C8),COLUMN(C8))</f>
        <v>#$C$8</v>
      </c>
      <c r="T3" s="729"/>
      <c r="U3" s="730" t="str">
        <f>"#"&amp;ADDRESS(ROW(C26),COLUMN(C26))</f>
        <v>#$C$26</v>
      </c>
      <c r="V3" s="729"/>
      <c r="W3" s="730" t="str">
        <f>"#"&amp;ADDRESS(ROW(C65),COLUMN(C65))</f>
        <v>#$C$65</v>
      </c>
      <c r="X3" s="729"/>
      <c r="Y3" s="730"/>
      <c r="Z3" s="731"/>
      <c r="AA3" s="513"/>
      <c r="AB3" s="513"/>
      <c r="AC3" s="513"/>
      <c r="AD3" s="513"/>
      <c r="AE3" s="513"/>
      <c r="AF3" s="513"/>
      <c r="AG3" s="513"/>
      <c r="AH3" s="513"/>
      <c r="AI3" s="513"/>
      <c r="AJ3" s="513"/>
      <c r="AK3" s="513"/>
      <c r="AL3" s="513"/>
      <c r="AM3" s="513"/>
      <c r="AN3" s="513"/>
      <c r="AO3" s="513"/>
      <c r="AP3" s="513"/>
      <c r="AQ3" s="513"/>
    </row>
    <row r="4" spans="1:43" s="614" customFormat="1" ht="13.5" customHeight="1" thickBot="1">
      <c r="A4" s="4"/>
      <c r="B4" s="866"/>
      <c r="C4" s="867"/>
      <c r="D4" s="868"/>
      <c r="E4" s="655"/>
      <c r="F4" s="655"/>
      <c r="G4" s="711"/>
      <c r="H4" s="712"/>
      <c r="I4" s="713"/>
      <c r="J4" s="712"/>
      <c r="K4" s="713"/>
      <c r="L4" s="712"/>
      <c r="M4" s="713"/>
      <c r="N4" s="712"/>
      <c r="O4" s="9"/>
      <c r="P4" s="9"/>
      <c r="Q4" s="531"/>
      <c r="R4" s="592"/>
      <c r="S4" s="734"/>
      <c r="T4" s="735"/>
      <c r="U4" s="736"/>
      <c r="V4" s="735"/>
      <c r="W4" s="736"/>
      <c r="X4" s="735"/>
      <c r="Y4" s="736"/>
      <c r="Z4" s="737"/>
      <c r="AA4" s="513"/>
      <c r="AB4" s="513"/>
      <c r="AC4" s="513"/>
      <c r="AD4" s="513"/>
      <c r="AE4" s="513"/>
      <c r="AF4" s="513"/>
      <c r="AG4" s="513"/>
      <c r="AH4" s="513"/>
      <c r="AI4" s="513"/>
      <c r="AJ4" s="513"/>
      <c r="AK4" s="513"/>
      <c r="AL4" s="513"/>
      <c r="AM4" s="513"/>
      <c r="AN4" s="513"/>
      <c r="AO4" s="513"/>
      <c r="AP4" s="513"/>
      <c r="AQ4" s="513"/>
    </row>
    <row r="5" spans="1:43" s="614" customFormat="1" ht="12.75">
      <c r="A5" s="4"/>
      <c r="B5" s="5"/>
      <c r="C5" s="6"/>
      <c r="D5" s="7"/>
      <c r="E5" s="7"/>
      <c r="F5" s="8"/>
      <c r="G5" s="8"/>
      <c r="H5" s="8"/>
      <c r="I5" s="5"/>
      <c r="J5" s="5"/>
      <c r="K5" s="5"/>
      <c r="L5" s="5"/>
      <c r="M5" s="9"/>
      <c r="N5" s="9"/>
      <c r="O5" s="9"/>
      <c r="P5" s="9"/>
      <c r="Q5" s="531"/>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row>
    <row r="6" spans="1:43" s="614" customFormat="1" ht="23.25" customHeight="1">
      <c r="A6" s="4"/>
      <c r="B6" s="5"/>
      <c r="C6" s="11" t="s">
        <v>1255</v>
      </c>
      <c r="D6" s="671" t="str">
        <f>Translations!$B$1587</f>
        <v>Sheet "Summary"</v>
      </c>
      <c r="E6" s="695"/>
      <c r="F6" s="695"/>
      <c r="G6" s="695"/>
      <c r="H6" s="695"/>
      <c r="I6" s="695"/>
      <c r="J6" s="695"/>
      <c r="K6" s="695"/>
      <c r="L6" s="695"/>
      <c r="M6" s="695"/>
      <c r="N6" s="695"/>
      <c r="O6" s="9"/>
      <c r="P6" s="9"/>
      <c r="Q6" s="532" t="s">
        <v>1200</v>
      </c>
      <c r="R6" s="532" t="s">
        <v>1200</v>
      </c>
      <c r="S6" s="532" t="s">
        <v>1200</v>
      </c>
      <c r="T6" s="532" t="s">
        <v>1200</v>
      </c>
      <c r="U6" s="532" t="s">
        <v>1200</v>
      </c>
      <c r="V6" s="532" t="s">
        <v>1200</v>
      </c>
      <c r="W6" s="532" t="s">
        <v>1200</v>
      </c>
      <c r="X6" s="532" t="s">
        <v>1200</v>
      </c>
      <c r="Y6" s="532" t="s">
        <v>1200</v>
      </c>
      <c r="Z6" s="532" t="s">
        <v>1200</v>
      </c>
      <c r="AA6" s="513"/>
      <c r="AB6" s="513"/>
      <c r="AC6" s="513"/>
      <c r="AD6" s="513"/>
      <c r="AE6" s="513"/>
      <c r="AF6" s="513"/>
      <c r="AG6" s="513"/>
      <c r="AH6" s="513"/>
      <c r="AI6" s="513"/>
      <c r="AJ6" s="513"/>
      <c r="AK6" s="513"/>
      <c r="AL6" s="513"/>
      <c r="AM6" s="513"/>
      <c r="AN6" s="513"/>
      <c r="AO6" s="513"/>
      <c r="AP6" s="513"/>
      <c r="AQ6" s="513"/>
    </row>
    <row r="7" spans="1:43" s="614" customFormat="1" ht="12.75" customHeight="1">
      <c r="A7" s="4"/>
      <c r="B7" s="5"/>
      <c r="C7" s="7"/>
      <c r="D7" s="5"/>
      <c r="E7" s="5"/>
      <c r="F7" s="5"/>
      <c r="G7" s="5"/>
      <c r="H7" s="5"/>
      <c r="I7" s="5"/>
      <c r="J7" s="5"/>
      <c r="K7" s="5"/>
      <c r="L7" s="5"/>
      <c r="M7" s="9"/>
      <c r="N7" s="9"/>
      <c r="O7" s="366"/>
      <c r="P7" s="9"/>
      <c r="Q7" s="531"/>
      <c r="R7" s="546"/>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row>
    <row r="8" spans="1:43" s="616" customFormat="1" ht="18" customHeight="1">
      <c r="A8" s="428"/>
      <c r="B8" s="215"/>
      <c r="C8" s="367" t="s">
        <v>81</v>
      </c>
      <c r="D8" s="384" t="str">
        <f>Translations!$B$1588</f>
        <v>Installations involved in the merger, split or transfer</v>
      </c>
      <c r="E8" s="384"/>
      <c r="F8" s="384"/>
      <c r="G8" s="384"/>
      <c r="H8" s="384"/>
      <c r="I8" s="384"/>
      <c r="J8" s="384"/>
      <c r="K8" s="384"/>
      <c r="L8" s="384"/>
      <c r="M8" s="384"/>
      <c r="N8" s="384"/>
      <c r="O8" s="216"/>
      <c r="P8" s="216"/>
      <c r="Q8" s="419"/>
      <c r="R8" s="419"/>
      <c r="S8" s="419"/>
      <c r="T8" s="419"/>
      <c r="U8" s="419"/>
      <c r="V8" s="419"/>
      <c r="W8" s="419"/>
      <c r="X8" s="419"/>
      <c r="Y8" s="419"/>
      <c r="Z8" s="419"/>
      <c r="AA8" s="419"/>
      <c r="AB8" s="513"/>
      <c r="AC8" s="513"/>
      <c r="AD8" s="513"/>
      <c r="AE8" s="513"/>
      <c r="AF8" s="513"/>
      <c r="AG8" s="513"/>
      <c r="AH8" s="513"/>
      <c r="AI8" s="513"/>
      <c r="AJ8" s="513"/>
      <c r="AK8" s="513"/>
      <c r="AL8" s="513"/>
      <c r="AM8" s="513"/>
      <c r="AN8" s="513"/>
      <c r="AO8" s="513"/>
      <c r="AP8" s="513"/>
      <c r="AQ8" s="513"/>
    </row>
    <row r="9" spans="1:43" s="614" customFormat="1" ht="12.75" customHeight="1">
      <c r="A9" s="4"/>
      <c r="B9" s="5"/>
      <c r="C9" s="5"/>
      <c r="D9" s="5"/>
      <c r="E9" s="5"/>
      <c r="F9" s="5"/>
      <c r="G9" s="5"/>
      <c r="H9" s="5"/>
      <c r="I9" s="5"/>
      <c r="J9" s="5"/>
      <c r="K9" s="5"/>
      <c r="L9" s="5"/>
      <c r="M9" s="9"/>
      <c r="N9" s="9"/>
      <c r="O9" s="9"/>
      <c r="P9" s="9"/>
      <c r="Q9" s="531"/>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row>
    <row r="10" spans="1:43" s="617" customFormat="1" ht="15" customHeight="1">
      <c r="A10" s="214"/>
      <c r="B10" s="385"/>
      <c r="C10" s="391">
        <v>1</v>
      </c>
      <c r="D10" s="894" t="str">
        <f>Translations!$B$1492&amp;" "&amp;C10</f>
        <v>Installation BEFORE merger, split or transfer 1</v>
      </c>
      <c r="E10" s="912"/>
      <c r="F10" s="912"/>
      <c r="G10" s="912"/>
      <c r="H10" s="912"/>
      <c r="I10" s="912"/>
      <c r="J10" s="912"/>
      <c r="K10" s="912"/>
      <c r="L10" s="912"/>
      <c r="M10" s="912"/>
      <c r="N10" s="912"/>
      <c r="O10" s="385"/>
      <c r="P10" s="385"/>
      <c r="Q10" s="536"/>
      <c r="R10" s="536"/>
      <c r="S10" s="536"/>
      <c r="T10" s="536"/>
      <c r="U10" s="536"/>
      <c r="V10" s="536"/>
      <c r="W10" s="536"/>
      <c r="X10" s="536"/>
      <c r="Y10" s="536"/>
      <c r="Z10" s="536"/>
      <c r="AA10" s="536"/>
      <c r="AB10" s="513"/>
      <c r="AC10" s="513"/>
      <c r="AD10" s="513"/>
      <c r="AE10" s="513"/>
      <c r="AF10" s="513"/>
      <c r="AG10" s="513"/>
      <c r="AH10" s="513"/>
      <c r="AI10" s="513"/>
      <c r="AJ10" s="513"/>
      <c r="AK10" s="513"/>
      <c r="AL10" s="513"/>
      <c r="AM10" s="513"/>
      <c r="AN10" s="513"/>
      <c r="AO10" s="513"/>
      <c r="AP10" s="513"/>
      <c r="AQ10" s="513"/>
    </row>
    <row r="11" spans="1:43" s="614" customFormat="1" ht="12.75" customHeight="1">
      <c r="A11" s="4"/>
      <c r="B11" s="5"/>
      <c r="C11" s="5"/>
      <c r="D11" s="102" t="s">
        <v>1680</v>
      </c>
      <c r="E11" s="696" t="str">
        <f>Translations!$B$346</f>
        <v>Name of the installation:</v>
      </c>
      <c r="F11" s="695"/>
      <c r="G11" s="695"/>
      <c r="H11" s="695"/>
      <c r="I11" s="761"/>
      <c r="J11" s="776">
        <f>IF(S11=0,"",S11)</f>
      </c>
      <c r="K11" s="777"/>
      <c r="L11" s="777"/>
      <c r="M11" s="777"/>
      <c r="N11" s="778"/>
      <c r="O11" s="9"/>
      <c r="P11" s="9"/>
      <c r="Q11" s="531"/>
      <c r="R11" s="537">
        <f>C10</f>
        <v>1</v>
      </c>
      <c r="S11" s="513">
        <f>INDEX(A_InstallationData!$S$188:$S$254,MATCH(R11,A_InstallationData!$R$188:$R$254,0))</f>
      </c>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row>
    <row r="12" spans="1:43" s="614" customFormat="1" ht="12.75" customHeight="1">
      <c r="A12" s="4"/>
      <c r="B12" s="5"/>
      <c r="C12" s="5"/>
      <c r="D12" s="102" t="s">
        <v>761</v>
      </c>
      <c r="E12" s="696" t="str">
        <f>Translations!$B$354</f>
        <v>Suggested unique ID for notification to the Commission:</v>
      </c>
      <c r="F12" s="695"/>
      <c r="G12" s="695"/>
      <c r="H12" s="695"/>
      <c r="I12" s="761"/>
      <c r="J12" s="776">
        <f>INDEX(A_InstallationData!$J$188:$J$254,MATCH(R12,A_InstallationData!$R$188:$R$254,0))</f>
      </c>
      <c r="K12" s="777"/>
      <c r="L12" s="777"/>
      <c r="M12" s="777"/>
      <c r="N12" s="778"/>
      <c r="O12" s="9"/>
      <c r="P12" s="9"/>
      <c r="Q12" s="531"/>
      <c r="R12" s="537">
        <f>R11</f>
        <v>1</v>
      </c>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row>
    <row r="13" spans="1:43" s="614" customFormat="1" ht="12.75" customHeight="1">
      <c r="A13" s="4"/>
      <c r="B13" s="5"/>
      <c r="C13" s="5"/>
      <c r="D13" s="5"/>
      <c r="E13" s="5"/>
      <c r="F13" s="5"/>
      <c r="G13" s="5"/>
      <c r="H13" s="5"/>
      <c r="I13" s="5"/>
      <c r="J13" s="5"/>
      <c r="K13" s="5"/>
      <c r="L13" s="5"/>
      <c r="M13" s="5"/>
      <c r="N13" s="5"/>
      <c r="O13" s="9"/>
      <c r="P13" s="9"/>
      <c r="Q13" s="531"/>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row>
    <row r="14" spans="1:43" s="617" customFormat="1" ht="15" customHeight="1">
      <c r="A14" s="214"/>
      <c r="B14" s="385"/>
      <c r="C14" s="391">
        <v>2</v>
      </c>
      <c r="D14" s="894" t="str">
        <f>Translations!$B$1492&amp;" "&amp;C14</f>
        <v>Installation BEFORE merger, split or transfer 2</v>
      </c>
      <c r="E14" s="912"/>
      <c r="F14" s="912"/>
      <c r="G14" s="912"/>
      <c r="H14" s="912"/>
      <c r="I14" s="912"/>
      <c r="J14" s="912"/>
      <c r="K14" s="912"/>
      <c r="L14" s="912"/>
      <c r="M14" s="912"/>
      <c r="N14" s="912"/>
      <c r="O14" s="385"/>
      <c r="P14" s="385"/>
      <c r="Q14" s="536"/>
      <c r="R14" s="536"/>
      <c r="S14" s="536"/>
      <c r="T14" s="536"/>
      <c r="U14" s="536"/>
      <c r="V14" s="536"/>
      <c r="W14" s="536"/>
      <c r="X14" s="536"/>
      <c r="Y14" s="536"/>
      <c r="Z14" s="536"/>
      <c r="AA14" s="536"/>
      <c r="AB14" s="513"/>
      <c r="AC14" s="513"/>
      <c r="AD14" s="513"/>
      <c r="AE14" s="513"/>
      <c r="AF14" s="513"/>
      <c r="AG14" s="513"/>
      <c r="AH14" s="513"/>
      <c r="AI14" s="513"/>
      <c r="AJ14" s="513"/>
      <c r="AK14" s="513"/>
      <c r="AL14" s="513"/>
      <c r="AM14" s="513"/>
      <c r="AN14" s="513"/>
      <c r="AO14" s="513"/>
      <c r="AP14" s="513"/>
      <c r="AQ14" s="513"/>
    </row>
    <row r="15" spans="1:43" s="614" customFormat="1" ht="12.75" customHeight="1">
      <c r="A15" s="4"/>
      <c r="B15" s="5"/>
      <c r="C15" s="5"/>
      <c r="D15" s="14" t="s">
        <v>1680</v>
      </c>
      <c r="E15" s="696" t="str">
        <f>Translations!$B$346</f>
        <v>Name of the installation:</v>
      </c>
      <c r="F15" s="695"/>
      <c r="G15" s="695"/>
      <c r="H15" s="695"/>
      <c r="I15" s="761"/>
      <c r="J15" s="776">
        <f>IF(S15=0,"",S15)</f>
      </c>
      <c r="K15" s="777"/>
      <c r="L15" s="777"/>
      <c r="M15" s="777"/>
      <c r="N15" s="778"/>
      <c r="O15" s="9"/>
      <c r="P15" s="9"/>
      <c r="Q15" s="531"/>
      <c r="R15" s="537">
        <f>C14</f>
        <v>2</v>
      </c>
      <c r="S15" s="513">
        <f>INDEX(A_InstallationData!$S$188:$S$254,MATCH(R15,A_InstallationData!$R$188:$R$254,0))</f>
        <v>0</v>
      </c>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row>
    <row r="16" spans="1:43" s="614" customFormat="1" ht="12.75" customHeight="1">
      <c r="A16" s="4"/>
      <c r="B16" s="5"/>
      <c r="C16" s="5"/>
      <c r="D16" s="14" t="s">
        <v>761</v>
      </c>
      <c r="E16" s="696" t="str">
        <f>Translations!$B$354</f>
        <v>Suggested unique ID for notification to the Commission:</v>
      </c>
      <c r="F16" s="695"/>
      <c r="G16" s="695"/>
      <c r="H16" s="695"/>
      <c r="I16" s="761"/>
      <c r="J16" s="776">
        <f>INDEX(A_InstallationData!$J$188:$J$254,MATCH(R16,A_InstallationData!$R$188:$R$254,0))</f>
      </c>
      <c r="K16" s="777"/>
      <c r="L16" s="777"/>
      <c r="M16" s="777"/>
      <c r="N16" s="778"/>
      <c r="O16" s="9"/>
      <c r="P16" s="9"/>
      <c r="Q16" s="531"/>
      <c r="R16" s="537">
        <f>R15</f>
        <v>2</v>
      </c>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row>
    <row r="17" spans="1:43" s="614" customFormat="1" ht="12.75" customHeight="1">
      <c r="A17" s="4"/>
      <c r="B17" s="5"/>
      <c r="C17" s="5"/>
      <c r="D17" s="5"/>
      <c r="E17" s="5"/>
      <c r="F17" s="5"/>
      <c r="G17" s="5"/>
      <c r="H17" s="5"/>
      <c r="I17" s="5"/>
      <c r="J17" s="5"/>
      <c r="K17" s="5"/>
      <c r="L17" s="5"/>
      <c r="M17" s="9"/>
      <c r="N17" s="9"/>
      <c r="O17" s="9"/>
      <c r="P17" s="9"/>
      <c r="Q17" s="531"/>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row>
    <row r="18" spans="1:43" s="617" customFormat="1" ht="15" customHeight="1">
      <c r="A18" s="214"/>
      <c r="B18" s="385"/>
      <c r="C18" s="391">
        <v>3</v>
      </c>
      <c r="D18" s="894" t="str">
        <f>Translations!$B$1493&amp;" "&amp;C18</f>
        <v>Installation AFTER merger, split or transfer (submitting this application) 3</v>
      </c>
      <c r="E18" s="912"/>
      <c r="F18" s="912"/>
      <c r="G18" s="912"/>
      <c r="H18" s="912"/>
      <c r="I18" s="912"/>
      <c r="J18" s="912"/>
      <c r="K18" s="912"/>
      <c r="L18" s="912"/>
      <c r="M18" s="912"/>
      <c r="N18" s="912"/>
      <c r="O18" s="385"/>
      <c r="P18" s="385"/>
      <c r="Q18" s="536"/>
      <c r="R18" s="536"/>
      <c r="S18" s="536"/>
      <c r="T18" s="536"/>
      <c r="U18" s="536"/>
      <c r="V18" s="536"/>
      <c r="W18" s="536"/>
      <c r="X18" s="536"/>
      <c r="Y18" s="536"/>
      <c r="Z18" s="536"/>
      <c r="AA18" s="536"/>
      <c r="AB18" s="513"/>
      <c r="AC18" s="513"/>
      <c r="AD18" s="513"/>
      <c r="AE18" s="513"/>
      <c r="AF18" s="513"/>
      <c r="AG18" s="513"/>
      <c r="AH18" s="513"/>
      <c r="AI18" s="513"/>
      <c r="AJ18" s="513"/>
      <c r="AK18" s="513"/>
      <c r="AL18" s="513"/>
      <c r="AM18" s="513"/>
      <c r="AN18" s="513"/>
      <c r="AO18" s="513"/>
      <c r="AP18" s="513"/>
      <c r="AQ18" s="513"/>
    </row>
    <row r="19" spans="1:43" s="614" customFormat="1" ht="12.75" customHeight="1">
      <c r="A19" s="4"/>
      <c r="B19" s="5"/>
      <c r="C19" s="5"/>
      <c r="D19" s="102" t="s">
        <v>1680</v>
      </c>
      <c r="E19" s="696" t="str">
        <f>Translations!$B$346</f>
        <v>Name of the installation:</v>
      </c>
      <c r="F19" s="695"/>
      <c r="G19" s="695"/>
      <c r="H19" s="695"/>
      <c r="I19" s="761"/>
      <c r="J19" s="776">
        <f>IF(S19=0,"",S19)</f>
      </c>
      <c r="K19" s="777"/>
      <c r="L19" s="777"/>
      <c r="M19" s="777"/>
      <c r="N19" s="778"/>
      <c r="O19" s="9"/>
      <c r="P19" s="9"/>
      <c r="Q19" s="531"/>
      <c r="R19" s="537">
        <f>C18</f>
        <v>3</v>
      </c>
      <c r="S19" s="513">
        <f>INDEX(A_InstallationData!$S$188:$S$254,MATCH(R19,A_InstallationData!$R$188:$R$254,0))</f>
      </c>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row>
    <row r="20" spans="1:43" s="614" customFormat="1" ht="12.75" customHeight="1">
      <c r="A20" s="4"/>
      <c r="B20" s="5"/>
      <c r="C20" s="5"/>
      <c r="D20" s="102" t="s">
        <v>761</v>
      </c>
      <c r="E20" s="696" t="str">
        <f>Translations!$B$354</f>
        <v>Suggested unique ID for notification to the Commission:</v>
      </c>
      <c r="F20" s="695"/>
      <c r="G20" s="695"/>
      <c r="H20" s="695"/>
      <c r="I20" s="761"/>
      <c r="J20" s="776">
        <f>INDEX(A_InstallationData!$J$188:$J$254,MATCH(R20,A_InstallationData!$R$188:$R$254,0))</f>
      </c>
      <c r="K20" s="777"/>
      <c r="L20" s="777"/>
      <c r="M20" s="777"/>
      <c r="N20" s="778"/>
      <c r="O20" s="9"/>
      <c r="P20" s="9"/>
      <c r="Q20" s="531"/>
      <c r="R20" s="537">
        <f>R19</f>
        <v>3</v>
      </c>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row>
    <row r="21" spans="1:43" s="614" customFormat="1" ht="12.75" customHeight="1">
      <c r="A21" s="4"/>
      <c r="B21" s="5"/>
      <c r="C21" s="5"/>
      <c r="D21" s="5"/>
      <c r="E21" s="5"/>
      <c r="F21" s="5"/>
      <c r="G21" s="5"/>
      <c r="H21" s="5"/>
      <c r="I21" s="5"/>
      <c r="J21" s="5"/>
      <c r="K21" s="5"/>
      <c r="L21" s="5"/>
      <c r="M21" s="9"/>
      <c r="N21" s="9"/>
      <c r="O21" s="9"/>
      <c r="P21" s="9"/>
      <c r="Q21" s="531"/>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row>
    <row r="22" spans="1:43" s="617" customFormat="1" ht="15" customHeight="1">
      <c r="A22" s="214"/>
      <c r="B22" s="385"/>
      <c r="C22" s="391">
        <v>4</v>
      </c>
      <c r="D22" s="894" t="str">
        <f>Translations!$B$1494&amp;" "&amp;C22</f>
        <v>Installation AFTER merger, split or transfer 4</v>
      </c>
      <c r="E22" s="912"/>
      <c r="F22" s="912"/>
      <c r="G22" s="912"/>
      <c r="H22" s="912"/>
      <c r="I22" s="912"/>
      <c r="J22" s="912"/>
      <c r="K22" s="912"/>
      <c r="L22" s="912"/>
      <c r="M22" s="912"/>
      <c r="N22" s="912"/>
      <c r="O22" s="385"/>
      <c r="P22" s="385"/>
      <c r="Q22" s="536"/>
      <c r="R22" s="536"/>
      <c r="S22" s="536"/>
      <c r="T22" s="536"/>
      <c r="U22" s="536"/>
      <c r="V22" s="536"/>
      <c r="W22" s="536"/>
      <c r="X22" s="536"/>
      <c r="Y22" s="536"/>
      <c r="Z22" s="536"/>
      <c r="AA22" s="536"/>
      <c r="AB22" s="513"/>
      <c r="AC22" s="513"/>
      <c r="AD22" s="513"/>
      <c r="AE22" s="513"/>
      <c r="AF22" s="513"/>
      <c r="AG22" s="513"/>
      <c r="AH22" s="513"/>
      <c r="AI22" s="513"/>
      <c r="AJ22" s="513"/>
      <c r="AK22" s="513"/>
      <c r="AL22" s="513"/>
      <c r="AM22" s="513"/>
      <c r="AN22" s="513"/>
      <c r="AO22" s="513"/>
      <c r="AP22" s="513"/>
      <c r="AQ22" s="513"/>
    </row>
    <row r="23" spans="1:43" s="614" customFormat="1" ht="12.75" customHeight="1">
      <c r="A23" s="4"/>
      <c r="B23" s="5"/>
      <c r="C23" s="5"/>
      <c r="D23" s="102" t="s">
        <v>1680</v>
      </c>
      <c r="E23" s="696" t="str">
        <f>Translations!$B$346</f>
        <v>Name of the installation:</v>
      </c>
      <c r="F23" s="695"/>
      <c r="G23" s="695"/>
      <c r="H23" s="695"/>
      <c r="I23" s="761"/>
      <c r="J23" s="776">
        <f>IF(S23=0,"",S23)</f>
      </c>
      <c r="K23" s="777"/>
      <c r="L23" s="777"/>
      <c r="M23" s="777"/>
      <c r="N23" s="778"/>
      <c r="O23" s="9"/>
      <c r="P23" s="9"/>
      <c r="Q23" s="531"/>
      <c r="R23" s="537">
        <f>C22</f>
        <v>4</v>
      </c>
      <c r="S23" s="513">
        <f>INDEX(A_InstallationData!$S$188:$S$254,MATCH(R23,A_InstallationData!$R$188:$R$254,0))</f>
        <v>0</v>
      </c>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row>
    <row r="24" spans="1:43" s="614" customFormat="1" ht="12.75" customHeight="1">
      <c r="A24" s="4"/>
      <c r="B24" s="5"/>
      <c r="C24" s="5"/>
      <c r="D24" s="102" t="s">
        <v>761</v>
      </c>
      <c r="E24" s="696" t="str">
        <f>Translations!$B$354</f>
        <v>Suggested unique ID for notification to the Commission:</v>
      </c>
      <c r="F24" s="695"/>
      <c r="G24" s="695"/>
      <c r="H24" s="695"/>
      <c r="I24" s="761"/>
      <c r="J24" s="776">
        <f>INDEX(A_InstallationData!$J$188:$J$254,MATCH(R24,A_InstallationData!$R$188:$R$254,0))</f>
      </c>
      <c r="K24" s="777"/>
      <c r="L24" s="777"/>
      <c r="M24" s="777"/>
      <c r="N24" s="778"/>
      <c r="O24" s="9"/>
      <c r="P24" s="9"/>
      <c r="Q24" s="531"/>
      <c r="R24" s="537">
        <f>R23</f>
        <v>4</v>
      </c>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row>
    <row r="25" spans="1:43" s="614" customFormat="1" ht="25.5" customHeight="1">
      <c r="A25" s="4"/>
      <c r="B25" s="5"/>
      <c r="C25" s="5"/>
      <c r="D25" s="5"/>
      <c r="E25" s="5"/>
      <c r="F25" s="5"/>
      <c r="G25" s="5"/>
      <c r="H25" s="5"/>
      <c r="I25" s="5"/>
      <c r="J25" s="5"/>
      <c r="K25" s="5"/>
      <c r="L25" s="5"/>
      <c r="M25" s="9"/>
      <c r="N25" s="9"/>
      <c r="O25" s="9"/>
      <c r="P25" s="9"/>
      <c r="Q25" s="531"/>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row>
    <row r="26" spans="1:43" s="616" customFormat="1" ht="18" customHeight="1">
      <c r="A26" s="428"/>
      <c r="B26" s="215"/>
      <c r="C26" s="367" t="s">
        <v>203</v>
      </c>
      <c r="D26" s="384" t="str">
        <f>Translations!$B$944</f>
        <v>Installation data</v>
      </c>
      <c r="E26" s="384"/>
      <c r="F26" s="384"/>
      <c r="G26" s="384"/>
      <c r="H26" s="384"/>
      <c r="I26" s="384"/>
      <c r="J26" s="384"/>
      <c r="K26" s="384"/>
      <c r="L26" s="384"/>
      <c r="M26" s="384"/>
      <c r="N26" s="384"/>
      <c r="O26" s="216"/>
      <c r="P26" s="216"/>
      <c r="Q26" s="419"/>
      <c r="R26" s="419"/>
      <c r="S26" s="419"/>
      <c r="T26" s="419"/>
      <c r="U26" s="419"/>
      <c r="V26" s="419"/>
      <c r="W26" s="419"/>
      <c r="X26" s="419"/>
      <c r="Y26" s="419"/>
      <c r="Z26" s="419"/>
      <c r="AA26" s="419"/>
      <c r="AB26" s="513"/>
      <c r="AC26" s="513"/>
      <c r="AD26" s="513"/>
      <c r="AE26" s="513"/>
      <c r="AF26" s="513"/>
      <c r="AG26" s="513"/>
      <c r="AH26" s="513"/>
      <c r="AI26" s="513"/>
      <c r="AJ26" s="513"/>
      <c r="AK26" s="513"/>
      <c r="AL26" s="513"/>
      <c r="AM26" s="513"/>
      <c r="AN26" s="513"/>
      <c r="AO26" s="513"/>
      <c r="AP26" s="513"/>
      <c r="AQ26" s="513"/>
    </row>
    <row r="27" spans="1:43" s="620" customFormat="1" ht="4.5" customHeight="1">
      <c r="A27" s="370"/>
      <c r="B27" s="5"/>
      <c r="C27" s="5"/>
      <c r="D27" s="5"/>
      <c r="E27" s="5"/>
      <c r="F27" s="5"/>
      <c r="G27" s="5"/>
      <c r="H27" s="5"/>
      <c r="I27" s="5"/>
      <c r="J27" s="5"/>
      <c r="K27" s="5"/>
      <c r="L27" s="5"/>
      <c r="M27" s="9"/>
      <c r="N27" s="9"/>
      <c r="O27" s="9"/>
      <c r="P27" s="9"/>
      <c r="Q27" s="10"/>
      <c r="R27" s="10"/>
      <c r="S27" s="10"/>
      <c r="T27" s="10"/>
      <c r="U27" s="10"/>
      <c r="V27" s="10"/>
      <c r="W27" s="10"/>
      <c r="X27" s="10"/>
      <c r="Y27" s="10"/>
      <c r="Z27" s="10"/>
      <c r="AA27" s="10"/>
      <c r="AB27" s="513"/>
      <c r="AC27" s="513"/>
      <c r="AD27" s="513"/>
      <c r="AE27" s="513"/>
      <c r="AF27" s="513"/>
      <c r="AG27" s="513"/>
      <c r="AH27" s="513"/>
      <c r="AI27" s="513"/>
      <c r="AJ27" s="513"/>
      <c r="AK27" s="513"/>
      <c r="AL27" s="513"/>
      <c r="AM27" s="513"/>
      <c r="AN27" s="513"/>
      <c r="AO27" s="513"/>
      <c r="AP27" s="513"/>
      <c r="AQ27" s="513"/>
    </row>
    <row r="28" spans="1:43" s="620" customFormat="1" ht="12.75" customHeight="1">
      <c r="A28" s="370"/>
      <c r="B28" s="5"/>
      <c r="C28" s="5"/>
      <c r="D28" s="5"/>
      <c r="E28" s="5"/>
      <c r="F28" s="5"/>
      <c r="G28" s="5"/>
      <c r="H28" s="5"/>
      <c r="I28" s="5"/>
      <c r="J28" s="5"/>
      <c r="K28" s="5"/>
      <c r="L28" s="5"/>
      <c r="M28" s="9"/>
      <c r="N28" s="9"/>
      <c r="O28" s="9"/>
      <c r="P28" s="9"/>
      <c r="Q28" s="10"/>
      <c r="R28" s="10"/>
      <c r="S28" s="10"/>
      <c r="T28" s="10"/>
      <c r="U28" s="10"/>
      <c r="V28" s="10"/>
      <c r="W28" s="10"/>
      <c r="X28" s="10"/>
      <c r="Y28" s="10"/>
      <c r="Z28" s="10"/>
      <c r="AA28" s="10"/>
      <c r="AB28" s="513"/>
      <c r="AC28" s="513"/>
      <c r="AD28" s="513"/>
      <c r="AE28" s="513"/>
      <c r="AF28" s="513"/>
      <c r="AG28" s="513"/>
      <c r="AH28" s="513"/>
      <c r="AI28" s="513"/>
      <c r="AJ28" s="513"/>
      <c r="AK28" s="513"/>
      <c r="AL28" s="513"/>
      <c r="AM28" s="513"/>
      <c r="AN28" s="513"/>
      <c r="AO28" s="513"/>
      <c r="AP28" s="513"/>
      <c r="AQ28" s="513"/>
    </row>
    <row r="29" spans="1:43" s="620" customFormat="1" ht="4.5" customHeight="1">
      <c r="A29" s="370"/>
      <c r="B29" s="5"/>
      <c r="C29" s="5"/>
      <c r="D29" s="5"/>
      <c r="E29" s="5"/>
      <c r="F29" s="5"/>
      <c r="G29" s="5"/>
      <c r="H29" s="5"/>
      <c r="I29" s="5"/>
      <c r="J29" s="5"/>
      <c r="K29" s="5"/>
      <c r="L29" s="5"/>
      <c r="M29" s="9"/>
      <c r="N29" s="9"/>
      <c r="O29" s="9"/>
      <c r="P29" s="9"/>
      <c r="Q29" s="10"/>
      <c r="R29" s="10"/>
      <c r="S29" s="10"/>
      <c r="T29" s="10"/>
      <c r="U29" s="10"/>
      <c r="V29" s="10"/>
      <c r="W29" s="10"/>
      <c r="X29" s="10"/>
      <c r="Y29" s="10"/>
      <c r="Z29" s="10"/>
      <c r="AA29" s="10"/>
      <c r="AB29" s="513"/>
      <c r="AC29" s="513"/>
      <c r="AD29" s="513"/>
      <c r="AE29" s="513"/>
      <c r="AF29" s="513"/>
      <c r="AG29" s="513"/>
      <c r="AH29" s="513"/>
      <c r="AI29" s="513"/>
      <c r="AJ29" s="513"/>
      <c r="AK29" s="513"/>
      <c r="AL29" s="513"/>
      <c r="AM29" s="513"/>
      <c r="AN29" s="513"/>
      <c r="AO29" s="513"/>
      <c r="AP29" s="513"/>
      <c r="AQ29" s="513"/>
    </row>
    <row r="30" spans="1:43" s="614" customFormat="1" ht="25.5" customHeight="1">
      <c r="A30" s="4"/>
      <c r="B30" s="5"/>
      <c r="C30" s="5"/>
      <c r="D30" s="5"/>
      <c r="E30" s="947">
        <f>IF(ISBLANK(A_InstallationData!E13),"",A_InstallationData!E13)</f>
      </c>
      <c r="F30" s="947"/>
      <c r="G30" s="947"/>
      <c r="H30" s="947"/>
      <c r="I30" s="947"/>
      <c r="J30" s="947"/>
      <c r="K30" s="947"/>
      <c r="L30" s="947"/>
      <c r="M30" s="947"/>
      <c r="N30" s="947"/>
      <c r="O30" s="9"/>
      <c r="P30" s="9"/>
      <c r="Q30" s="531"/>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row>
    <row r="31" spans="1:43" s="620" customFormat="1" ht="25.5" customHeight="1">
      <c r="A31" s="370"/>
      <c r="B31" s="223"/>
      <c r="C31" s="223"/>
      <c r="D31" s="223"/>
      <c r="E31" s="947">
        <f>IF(CNTR_HasEntries_A_II,IF(ISBLANK(A_InstallationData!E24),EUconst_ERR_Mandatory_g,A_InstallationData!E24),"")</f>
      </c>
      <c r="F31" s="947"/>
      <c r="G31" s="947"/>
      <c r="H31" s="947"/>
      <c r="I31" s="947"/>
      <c r="J31" s="947"/>
      <c r="K31" s="947"/>
      <c r="L31" s="947"/>
      <c r="M31" s="947"/>
      <c r="N31" s="947"/>
      <c r="O31" s="223"/>
      <c r="P31" s="9"/>
      <c r="Q31" s="531"/>
      <c r="R31" s="370"/>
      <c r="S31" s="370"/>
      <c r="T31" s="370"/>
      <c r="U31" s="370"/>
      <c r="V31" s="370"/>
      <c r="W31" s="370"/>
      <c r="X31" s="370"/>
      <c r="Y31" s="370"/>
      <c r="Z31" s="370"/>
      <c r="AA31" s="370"/>
      <c r="AB31" s="513"/>
      <c r="AC31" s="513"/>
      <c r="AD31" s="513"/>
      <c r="AE31" s="513"/>
      <c r="AF31" s="513"/>
      <c r="AG31" s="513"/>
      <c r="AH31" s="513"/>
      <c r="AI31" s="513"/>
      <c r="AJ31" s="513"/>
      <c r="AK31" s="513"/>
      <c r="AL31" s="513"/>
      <c r="AM31" s="513"/>
      <c r="AN31" s="513"/>
      <c r="AO31" s="513"/>
      <c r="AP31" s="513"/>
      <c r="AQ31" s="513"/>
    </row>
    <row r="32" spans="1:43" s="614" customFormat="1" ht="12.75" customHeight="1">
      <c r="A32" s="4"/>
      <c r="B32" s="5"/>
      <c r="C32" s="5"/>
      <c r="D32" s="5"/>
      <c r="E32" s="5"/>
      <c r="F32" s="5"/>
      <c r="G32" s="5"/>
      <c r="H32" s="5"/>
      <c r="I32" s="5"/>
      <c r="J32" s="5"/>
      <c r="K32" s="5"/>
      <c r="L32" s="5"/>
      <c r="M32" s="9"/>
      <c r="N32" s="9"/>
      <c r="O32" s="9"/>
      <c r="P32" s="9"/>
      <c r="Q32" s="531"/>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row>
    <row r="33" spans="1:43" s="620" customFormat="1" ht="15">
      <c r="A33" s="370"/>
      <c r="B33" s="223"/>
      <c r="C33" s="18">
        <v>1</v>
      </c>
      <c r="D33" s="760" t="str">
        <f>Translations!$B$345</f>
        <v>General information:</v>
      </c>
      <c r="E33" s="695"/>
      <c r="F33" s="695"/>
      <c r="G33" s="695"/>
      <c r="H33" s="695"/>
      <c r="I33" s="695"/>
      <c r="J33" s="695"/>
      <c r="K33" s="695"/>
      <c r="L33" s="695"/>
      <c r="M33" s="695"/>
      <c r="N33" s="695"/>
      <c r="O33" s="223"/>
      <c r="P33" s="9"/>
      <c r="Q33" s="370"/>
      <c r="R33" s="370"/>
      <c r="S33" s="370"/>
      <c r="T33" s="370"/>
      <c r="U33" s="370"/>
      <c r="V33" s="370"/>
      <c r="W33" s="370"/>
      <c r="X33" s="370"/>
      <c r="Y33" s="370"/>
      <c r="Z33" s="370"/>
      <c r="AA33" s="370"/>
      <c r="AB33" s="513"/>
      <c r="AC33" s="513"/>
      <c r="AD33" s="513"/>
      <c r="AE33" s="513"/>
      <c r="AF33" s="513"/>
      <c r="AG33" s="513"/>
      <c r="AH33" s="513"/>
      <c r="AI33" s="513"/>
      <c r="AJ33" s="513"/>
      <c r="AK33" s="513"/>
      <c r="AL33" s="513"/>
      <c r="AM33" s="513"/>
      <c r="AN33" s="513"/>
      <c r="AO33" s="513"/>
      <c r="AP33" s="513"/>
      <c r="AQ33" s="513"/>
    </row>
    <row r="34" spans="1:43" s="620" customFormat="1" ht="4.5" customHeight="1" thickBot="1">
      <c r="A34" s="370"/>
      <c r="B34" s="7"/>
      <c r="C34" s="7"/>
      <c r="D34" s="7"/>
      <c r="E34" s="7"/>
      <c r="F34" s="7"/>
      <c r="G34" s="7"/>
      <c r="H34" s="7"/>
      <c r="I34" s="7"/>
      <c r="J34" s="7"/>
      <c r="K34" s="7"/>
      <c r="L34" s="7"/>
      <c r="M34" s="25"/>
      <c r="N34" s="25"/>
      <c r="O34" s="25"/>
      <c r="P34" s="9"/>
      <c r="Q34" s="10"/>
      <c r="R34" s="10"/>
      <c r="S34" s="370"/>
      <c r="T34" s="370"/>
      <c r="U34" s="370"/>
      <c r="V34" s="370"/>
      <c r="W34" s="370"/>
      <c r="X34" s="370"/>
      <c r="Y34" s="370"/>
      <c r="Z34" s="370"/>
      <c r="AA34" s="370"/>
      <c r="AB34" s="513"/>
      <c r="AC34" s="513"/>
      <c r="AD34" s="513"/>
      <c r="AE34" s="513"/>
      <c r="AF34" s="513"/>
      <c r="AG34" s="513"/>
      <c r="AH34" s="513"/>
      <c r="AI34" s="513"/>
      <c r="AJ34" s="513"/>
      <c r="AK34" s="513"/>
      <c r="AL34" s="513"/>
      <c r="AM34" s="513"/>
      <c r="AN34" s="513"/>
      <c r="AO34" s="513"/>
      <c r="AP34" s="513"/>
      <c r="AQ34" s="513"/>
    </row>
    <row r="35" spans="1:43" s="620" customFormat="1" ht="13.5" thickBot="1">
      <c r="A35" s="370"/>
      <c r="B35" s="223"/>
      <c r="C35" s="223"/>
      <c r="D35" s="197"/>
      <c r="E35" s="221" t="str">
        <f>Translations!$B$949</f>
        <v>Installation Identifier:</v>
      </c>
      <c r="F35" s="98"/>
      <c r="G35" s="223"/>
      <c r="H35" s="939">
        <f>CNTR_UniqueID</f>
      </c>
      <c r="I35" s="681"/>
      <c r="J35" s="223"/>
      <c r="K35" s="221" t="str">
        <f>Translations!$B$950</f>
        <v>Member State:</v>
      </c>
      <c r="L35" s="224"/>
      <c r="M35" s="939">
        <f>IF(ISBLANK(A_InstallationData!$J$39),"",A_InstallationData!$J$39)</f>
      </c>
      <c r="N35" s="681"/>
      <c r="O35" s="223"/>
      <c r="P35" s="223"/>
      <c r="Q35" s="549">
        <v>3</v>
      </c>
      <c r="R35" s="370"/>
      <c r="S35" s="370"/>
      <c r="T35" s="370"/>
      <c r="U35" s="370"/>
      <c r="V35" s="370"/>
      <c r="W35" s="370"/>
      <c r="X35" s="370"/>
      <c r="Y35" s="370"/>
      <c r="Z35" s="370"/>
      <c r="AA35" s="370"/>
      <c r="AB35" s="513"/>
      <c r="AC35" s="513"/>
      <c r="AD35" s="513"/>
      <c r="AE35" s="513"/>
      <c r="AF35" s="513"/>
      <c r="AG35" s="513"/>
      <c r="AH35" s="513"/>
      <c r="AI35" s="513"/>
      <c r="AJ35" s="513"/>
      <c r="AK35" s="513"/>
      <c r="AL35" s="513"/>
      <c r="AM35" s="513"/>
      <c r="AN35" s="513"/>
      <c r="AO35" s="513"/>
      <c r="AP35" s="513"/>
      <c r="AQ35" s="513"/>
    </row>
    <row r="36" spans="1:43" s="620" customFormat="1" ht="12.75">
      <c r="A36" s="370"/>
      <c r="B36" s="223"/>
      <c r="C36" s="223"/>
      <c r="D36" s="197"/>
      <c r="E36" s="221" t="str">
        <f>Translations!$B$346</f>
        <v>Name of the installation:</v>
      </c>
      <c r="F36" s="98"/>
      <c r="G36" s="223"/>
      <c r="H36" s="939">
        <f>J19</f>
      </c>
      <c r="I36" s="952"/>
      <c r="J36" s="952"/>
      <c r="K36" s="952"/>
      <c r="L36" s="681"/>
      <c r="M36" s="223"/>
      <c r="N36" s="223"/>
      <c r="O36" s="223"/>
      <c r="P36" s="223"/>
      <c r="Q36" s="370"/>
      <c r="R36" s="370"/>
      <c r="S36" s="370"/>
      <c r="T36" s="370"/>
      <c r="U36" s="370"/>
      <c r="V36" s="370"/>
      <c r="W36" s="370"/>
      <c r="X36" s="370"/>
      <c r="Y36" s="370"/>
      <c r="Z36" s="370"/>
      <c r="AA36" s="370"/>
      <c r="AB36" s="513"/>
      <c r="AC36" s="513"/>
      <c r="AD36" s="513"/>
      <c r="AE36" s="513"/>
      <c r="AF36" s="513"/>
      <c r="AG36" s="513"/>
      <c r="AH36" s="513"/>
      <c r="AI36" s="513"/>
      <c r="AJ36" s="513"/>
      <c r="AK36" s="513"/>
      <c r="AL36" s="513"/>
      <c r="AM36" s="513"/>
      <c r="AN36" s="513"/>
      <c r="AO36" s="513"/>
      <c r="AP36" s="513"/>
      <c r="AQ36" s="513"/>
    </row>
    <row r="37" spans="1:43" s="620" customFormat="1" ht="12.75">
      <c r="A37" s="370"/>
      <c r="B37" s="223"/>
      <c r="C37" s="223"/>
      <c r="D37" s="197"/>
      <c r="E37" s="221" t="str">
        <f>Translations!$B$365</f>
        <v>Operator Name:</v>
      </c>
      <c r="F37" s="98"/>
      <c r="G37" s="223"/>
      <c r="H37" s="939">
        <f>IF(ISBLANK(A_InstallationData!$J$69),"",A_InstallationData!$J$69)</f>
      </c>
      <c r="I37" s="952"/>
      <c r="J37" s="952"/>
      <c r="K37" s="952"/>
      <c r="L37" s="681"/>
      <c r="M37" s="223"/>
      <c r="N37" s="223"/>
      <c r="O37" s="223"/>
      <c r="P37" s="223"/>
      <c r="Q37" s="370"/>
      <c r="R37" s="370"/>
      <c r="S37" s="370"/>
      <c r="T37" s="370"/>
      <c r="U37" s="370"/>
      <c r="V37" s="370"/>
      <c r="W37" s="370"/>
      <c r="X37" s="370"/>
      <c r="Y37" s="370"/>
      <c r="Z37" s="370"/>
      <c r="AA37" s="370"/>
      <c r="AB37" s="513"/>
      <c r="AC37" s="513"/>
      <c r="AD37" s="513"/>
      <c r="AE37" s="513"/>
      <c r="AF37" s="513"/>
      <c r="AG37" s="513"/>
      <c r="AH37" s="513"/>
      <c r="AI37" s="513"/>
      <c r="AJ37" s="513"/>
      <c r="AK37" s="513"/>
      <c r="AL37" s="513"/>
      <c r="AM37" s="513"/>
      <c r="AN37" s="513"/>
      <c r="AO37" s="513"/>
      <c r="AP37" s="513"/>
      <c r="AQ37" s="513"/>
    </row>
    <row r="38" spans="1:43" s="620" customFormat="1" ht="4.5" customHeight="1">
      <c r="A38" s="370"/>
      <c r="B38" s="223"/>
      <c r="C38" s="223"/>
      <c r="D38" s="197"/>
      <c r="E38" s="221"/>
      <c r="F38" s="206"/>
      <c r="G38" s="223"/>
      <c r="H38" s="223"/>
      <c r="I38" s="223"/>
      <c r="J38" s="223"/>
      <c r="K38" s="223"/>
      <c r="L38" s="223"/>
      <c r="M38" s="353"/>
      <c r="N38" s="353"/>
      <c r="O38" s="223"/>
      <c r="P38" s="223"/>
      <c r="Q38" s="370"/>
      <c r="R38" s="370"/>
      <c r="S38" s="370"/>
      <c r="T38" s="370"/>
      <c r="U38" s="370"/>
      <c r="V38" s="370"/>
      <c r="W38" s="370"/>
      <c r="X38" s="370"/>
      <c r="Y38" s="370"/>
      <c r="Z38" s="370"/>
      <c r="AA38" s="370"/>
      <c r="AB38" s="513"/>
      <c r="AC38" s="513"/>
      <c r="AD38" s="513"/>
      <c r="AE38" s="513"/>
      <c r="AF38" s="513"/>
      <c r="AG38" s="513"/>
      <c r="AH38" s="513"/>
      <c r="AI38" s="513"/>
      <c r="AJ38" s="513"/>
      <c r="AK38" s="513"/>
      <c r="AL38" s="513"/>
      <c r="AM38" s="513"/>
      <c r="AN38" s="513"/>
      <c r="AO38" s="513"/>
      <c r="AP38" s="513"/>
      <c r="AQ38" s="513"/>
    </row>
    <row r="39" spans="1:43" s="620" customFormat="1" ht="12.75">
      <c r="A39" s="370"/>
      <c r="B39" s="223"/>
      <c r="C39" s="223"/>
      <c r="D39" s="197"/>
      <c r="E39" s="221" t="str">
        <f>Translations!$B$952</f>
        <v>Included in ETS before:</v>
      </c>
      <c r="F39" s="98"/>
      <c r="G39" s="223"/>
      <c r="H39" s="228">
        <f>IF(ISBLANK(A_InstallationData!$J$42),"",A_InstallationData!$J$42)</f>
      </c>
      <c r="I39" s="104"/>
      <c r="J39" s="104"/>
      <c r="K39" s="29" t="str">
        <f>Translations!$B$974</f>
        <v>Operated occasionally:</v>
      </c>
      <c r="L39" s="223"/>
      <c r="M39" s="954">
        <f>IF(ISBLANK(A_InstallationData!$L$132),"",A_InstallationData!$L$132)</f>
      </c>
      <c r="N39" s="955"/>
      <c r="O39" s="223"/>
      <c r="P39" s="223"/>
      <c r="Q39" s="370"/>
      <c r="R39" s="370"/>
      <c r="S39" s="370"/>
      <c r="T39" s="370"/>
      <c r="U39" s="370"/>
      <c r="V39" s="370"/>
      <c r="W39" s="370"/>
      <c r="X39" s="370"/>
      <c r="Y39" s="370"/>
      <c r="Z39" s="370"/>
      <c r="AA39" s="370"/>
      <c r="AB39" s="513"/>
      <c r="AC39" s="513"/>
      <c r="AD39" s="513"/>
      <c r="AE39" s="513"/>
      <c r="AF39" s="513"/>
      <c r="AG39" s="513"/>
      <c r="AH39" s="513"/>
      <c r="AI39" s="513"/>
      <c r="AJ39" s="513"/>
      <c r="AK39" s="513"/>
      <c r="AL39" s="513"/>
      <c r="AM39" s="513"/>
      <c r="AN39" s="513"/>
      <c r="AO39" s="513"/>
      <c r="AP39" s="513"/>
      <c r="AQ39" s="513"/>
    </row>
    <row r="40" spans="1:43" s="620" customFormat="1" ht="12.75">
      <c r="A40" s="370"/>
      <c r="B40" s="223"/>
      <c r="C40" s="223"/>
      <c r="D40" s="197"/>
      <c r="E40" s="221" t="str">
        <f>Translations!$B$954</f>
        <v>Starting date:</v>
      </c>
      <c r="F40" s="223"/>
      <c r="G40" s="223"/>
      <c r="H40" s="589">
        <f>IF(ISBLANK(A_InstallationData!$L$15),"",A_InstallationData!$L$15)</f>
      </c>
      <c r="I40" s="223"/>
      <c r="J40" s="223"/>
      <c r="K40" s="223"/>
      <c r="L40" s="223"/>
      <c r="M40" s="223"/>
      <c r="N40" s="229"/>
      <c r="O40" s="223"/>
      <c r="P40" s="223"/>
      <c r="Q40" s="370"/>
      <c r="R40" s="370"/>
      <c r="S40" s="370"/>
      <c r="T40" s="370"/>
      <c r="U40" s="370"/>
      <c r="V40" s="370"/>
      <c r="W40" s="370"/>
      <c r="X40" s="370"/>
      <c r="Y40" s="370"/>
      <c r="Z40" s="370"/>
      <c r="AA40" s="370"/>
      <c r="AB40" s="513"/>
      <c r="AC40" s="513"/>
      <c r="AD40" s="513"/>
      <c r="AE40" s="513"/>
      <c r="AF40" s="513"/>
      <c r="AG40" s="513"/>
      <c r="AH40" s="513"/>
      <c r="AI40" s="513"/>
      <c r="AJ40" s="513"/>
      <c r="AK40" s="513"/>
      <c r="AL40" s="513"/>
      <c r="AM40" s="513"/>
      <c r="AN40" s="513"/>
      <c r="AO40" s="513"/>
      <c r="AP40" s="513"/>
      <c r="AQ40" s="513"/>
    </row>
    <row r="41" spans="1:43" s="620" customFormat="1" ht="4.5" customHeight="1">
      <c r="A41" s="370"/>
      <c r="B41" s="223"/>
      <c r="C41" s="223"/>
      <c r="D41" s="197"/>
      <c r="E41" s="221"/>
      <c r="F41" s="206"/>
      <c r="G41" s="223"/>
      <c r="H41" s="223"/>
      <c r="I41" s="223"/>
      <c r="J41" s="223"/>
      <c r="K41" s="223"/>
      <c r="L41" s="223"/>
      <c r="M41" s="353"/>
      <c r="N41" s="353"/>
      <c r="O41" s="223"/>
      <c r="P41" s="223"/>
      <c r="Q41" s="370"/>
      <c r="R41" s="370"/>
      <c r="S41" s="370"/>
      <c r="T41" s="370"/>
      <c r="U41" s="370"/>
      <c r="V41" s="370"/>
      <c r="W41" s="370"/>
      <c r="X41" s="370"/>
      <c r="Y41" s="370"/>
      <c r="Z41" s="370"/>
      <c r="AA41" s="370"/>
      <c r="AB41" s="513"/>
      <c r="AC41" s="513"/>
      <c r="AD41" s="513"/>
      <c r="AE41" s="513"/>
      <c r="AF41" s="513"/>
      <c r="AG41" s="513"/>
      <c r="AH41" s="513"/>
      <c r="AI41" s="513"/>
      <c r="AJ41" s="513"/>
      <c r="AK41" s="513"/>
      <c r="AL41" s="513"/>
      <c r="AM41" s="513"/>
      <c r="AN41" s="513"/>
      <c r="AO41" s="513"/>
      <c r="AP41" s="513"/>
      <c r="AQ41" s="513"/>
    </row>
    <row r="42" spans="1:43" s="620" customFormat="1" ht="12.75">
      <c r="A42" s="370"/>
      <c r="B42" s="223"/>
      <c r="C42" s="223"/>
      <c r="D42" s="223"/>
      <c r="E42" s="221" t="str">
        <f>Translations!$B$955</f>
        <v>NACE code in 2007 (NACE rev 1.1):</v>
      </c>
      <c r="F42" s="98"/>
      <c r="G42" s="100"/>
      <c r="H42" s="228">
        <f>IF(ISBLANK(A_InstallationData!$L$119),"",A_InstallationData!$L$119)</f>
      </c>
      <c r="I42" s="100"/>
      <c r="J42" s="100"/>
      <c r="K42" s="29" t="str">
        <f>Translations!$B$956</f>
        <v>EPRTR ID:</v>
      </c>
      <c r="L42" s="100"/>
      <c r="M42" s="939">
        <f>IF(ISBLANK(A_InstallationData!$L$103),"",A_InstallationData!$L$103)</f>
      </c>
      <c r="N42" s="681"/>
      <c r="O42" s="223"/>
      <c r="P42" s="420"/>
      <c r="Q42" s="370"/>
      <c r="R42" s="370"/>
      <c r="S42" s="370"/>
      <c r="T42" s="370"/>
      <c r="U42" s="370"/>
      <c r="V42" s="370"/>
      <c r="W42" s="370"/>
      <c r="X42" s="370"/>
      <c r="Y42" s="370"/>
      <c r="Z42" s="370"/>
      <c r="AA42" s="370"/>
      <c r="AB42" s="513"/>
      <c r="AC42" s="513"/>
      <c r="AD42" s="513"/>
      <c r="AE42" s="513"/>
      <c r="AF42" s="513"/>
      <c r="AG42" s="513"/>
      <c r="AH42" s="513"/>
      <c r="AI42" s="513"/>
      <c r="AJ42" s="513"/>
      <c r="AK42" s="513"/>
      <c r="AL42" s="513"/>
      <c r="AM42" s="513"/>
      <c r="AN42" s="513"/>
      <c r="AO42" s="513"/>
      <c r="AP42" s="513"/>
      <c r="AQ42" s="513"/>
    </row>
    <row r="43" spans="1:43" s="620" customFormat="1" ht="12.75">
      <c r="A43" s="370"/>
      <c r="B43" s="223"/>
      <c r="C43" s="223"/>
      <c r="D43" s="197"/>
      <c r="E43" s="221" t="str">
        <f>Translations!$B$957</f>
        <v>NACE code in 2010 (NACE rev 2):</v>
      </c>
      <c r="F43" s="98"/>
      <c r="G43" s="100"/>
      <c r="H43" s="228">
        <f>IF(ISBLANK(A_InstallationData!$L$120),"",A_InstallationData!$L$120)</f>
      </c>
      <c r="I43" s="100"/>
      <c r="J43" s="100"/>
      <c r="K43" s="223"/>
      <c r="L43" s="223"/>
      <c r="M43" s="223"/>
      <c r="N43" s="223"/>
      <c r="O43" s="223"/>
      <c r="P43" s="223"/>
      <c r="Q43" s="370"/>
      <c r="R43" s="370"/>
      <c r="S43" s="370"/>
      <c r="T43" s="370"/>
      <c r="U43" s="370"/>
      <c r="V43" s="370"/>
      <c r="W43" s="370"/>
      <c r="X43" s="370"/>
      <c r="Y43" s="370"/>
      <c r="Z43" s="370"/>
      <c r="AA43" s="370"/>
      <c r="AB43" s="513"/>
      <c r="AC43" s="513"/>
      <c r="AD43" s="513"/>
      <c r="AE43" s="513"/>
      <c r="AF43" s="513"/>
      <c r="AG43" s="513"/>
      <c r="AH43" s="513"/>
      <c r="AI43" s="513"/>
      <c r="AJ43" s="513"/>
      <c r="AK43" s="513"/>
      <c r="AL43" s="513"/>
      <c r="AM43" s="513"/>
      <c r="AN43" s="513"/>
      <c r="AO43" s="513"/>
      <c r="AP43" s="513"/>
      <c r="AQ43" s="513"/>
    </row>
    <row r="44" spans="1:43" s="620" customFormat="1" ht="4.5" customHeight="1">
      <c r="A44" s="370"/>
      <c r="B44" s="223"/>
      <c r="C44" s="223"/>
      <c r="D44" s="197"/>
      <c r="E44" s="221"/>
      <c r="F44" s="206"/>
      <c r="G44" s="206"/>
      <c r="H44" s="206"/>
      <c r="I44" s="206"/>
      <c r="J44" s="206"/>
      <c r="K44" s="206"/>
      <c r="L44" s="206"/>
      <c r="M44" s="353"/>
      <c r="N44" s="353"/>
      <c r="O44" s="223"/>
      <c r="P44" s="223"/>
      <c r="Q44" s="370"/>
      <c r="R44" s="370"/>
      <c r="S44" s="370"/>
      <c r="T44" s="370"/>
      <c r="U44" s="370"/>
      <c r="V44" s="370"/>
      <c r="W44" s="370"/>
      <c r="X44" s="370"/>
      <c r="Y44" s="370"/>
      <c r="Z44" s="370"/>
      <c r="AA44" s="370"/>
      <c r="AB44" s="513"/>
      <c r="AC44" s="513"/>
      <c r="AD44" s="513"/>
      <c r="AE44" s="513"/>
      <c r="AF44" s="513"/>
      <c r="AG44" s="513"/>
      <c r="AH44" s="513"/>
      <c r="AI44" s="513"/>
      <c r="AJ44" s="513"/>
      <c r="AK44" s="513"/>
      <c r="AL44" s="513"/>
      <c r="AM44" s="513"/>
      <c r="AN44" s="513"/>
      <c r="AO44" s="513"/>
      <c r="AP44" s="513"/>
      <c r="AQ44" s="513"/>
    </row>
    <row r="45" spans="1:43" s="620" customFormat="1" ht="12.75">
      <c r="A45" s="370"/>
      <c r="B45" s="223"/>
      <c r="C45" s="223"/>
      <c r="D45" s="197"/>
      <c r="E45" s="221" t="str">
        <f>Translations!$B$392</f>
        <v>Activities according to Annex I of the EU ETS Directive:</v>
      </c>
      <c r="F45" s="223"/>
      <c r="G45" s="223"/>
      <c r="H45" s="98"/>
      <c r="I45" s="98"/>
      <c r="J45" s="98"/>
      <c r="K45" s="98"/>
      <c r="L45" s="223"/>
      <c r="M45" s="229"/>
      <c r="N45" s="229"/>
      <c r="O45" s="223"/>
      <c r="P45" s="223"/>
      <c r="Q45" s="370"/>
      <c r="R45" s="370"/>
      <c r="S45" s="370"/>
      <c r="T45" s="370"/>
      <c r="U45" s="370"/>
      <c r="V45" s="370"/>
      <c r="W45" s="370"/>
      <c r="X45" s="370"/>
      <c r="Y45" s="370"/>
      <c r="Z45" s="370"/>
      <c r="AA45" s="370"/>
      <c r="AB45" s="513"/>
      <c r="AC45" s="513"/>
      <c r="AD45" s="513"/>
      <c r="AE45" s="513"/>
      <c r="AF45" s="513"/>
      <c r="AG45" s="513"/>
      <c r="AH45" s="513"/>
      <c r="AI45" s="513"/>
      <c r="AJ45" s="513"/>
      <c r="AK45" s="513"/>
      <c r="AL45" s="513"/>
      <c r="AM45" s="513"/>
      <c r="AN45" s="513"/>
      <c r="AO45" s="513"/>
      <c r="AP45" s="513"/>
      <c r="AQ45" s="513"/>
    </row>
    <row r="46" spans="1:43" s="620" customFormat="1" ht="12.75">
      <c r="A46" s="370"/>
      <c r="B46" s="223"/>
      <c r="C46" s="223"/>
      <c r="D46" s="29"/>
      <c r="E46" s="588" t="s">
        <v>1432</v>
      </c>
      <c r="F46" s="951">
        <f>IF(ISBLANK(A_InstallationData!F105),"",A_InstallationData!F105)</f>
      </c>
      <c r="G46" s="952"/>
      <c r="H46" s="952"/>
      <c r="I46" s="952"/>
      <c r="J46" s="952"/>
      <c r="K46" s="952"/>
      <c r="L46" s="952"/>
      <c r="M46" s="952"/>
      <c r="N46" s="681"/>
      <c r="O46" s="223"/>
      <c r="P46" s="223"/>
      <c r="Q46" s="370"/>
      <c r="R46" s="370"/>
      <c r="S46" s="370"/>
      <c r="T46" s="370"/>
      <c r="U46" s="370"/>
      <c r="V46" s="370"/>
      <c r="W46" s="370"/>
      <c r="X46" s="370"/>
      <c r="Y46" s="370"/>
      <c r="Z46" s="370"/>
      <c r="AA46" s="370"/>
      <c r="AB46" s="513"/>
      <c r="AC46" s="513"/>
      <c r="AD46" s="513"/>
      <c r="AE46" s="513"/>
      <c r="AF46" s="513"/>
      <c r="AG46" s="513"/>
      <c r="AH46" s="513"/>
      <c r="AI46" s="513"/>
      <c r="AJ46" s="513"/>
      <c r="AK46" s="513"/>
      <c r="AL46" s="513"/>
      <c r="AM46" s="513"/>
      <c r="AN46" s="513"/>
      <c r="AO46" s="513"/>
      <c r="AP46" s="513"/>
      <c r="AQ46" s="513"/>
    </row>
    <row r="47" spans="1:43" s="620" customFormat="1" ht="12.75">
      <c r="A47" s="370"/>
      <c r="B47" s="223"/>
      <c r="C47" s="223"/>
      <c r="D47" s="197"/>
      <c r="E47" s="588" t="s">
        <v>1433</v>
      </c>
      <c r="F47" s="951">
        <f>IF(ISBLANK(A_InstallationData!F106),"",A_InstallationData!F106)</f>
      </c>
      <c r="G47" s="952"/>
      <c r="H47" s="952"/>
      <c r="I47" s="952"/>
      <c r="J47" s="952"/>
      <c r="K47" s="952"/>
      <c r="L47" s="952"/>
      <c r="M47" s="952"/>
      <c r="N47" s="681"/>
      <c r="O47" s="223"/>
      <c r="P47" s="223"/>
      <c r="Q47" s="370"/>
      <c r="R47" s="370"/>
      <c r="S47" s="370"/>
      <c r="T47" s="370"/>
      <c r="U47" s="370"/>
      <c r="V47" s="370"/>
      <c r="W47" s="370"/>
      <c r="X47" s="370"/>
      <c r="Y47" s="370"/>
      <c r="Z47" s="370"/>
      <c r="AA47" s="370"/>
      <c r="AB47" s="513"/>
      <c r="AC47" s="513"/>
      <c r="AD47" s="513"/>
      <c r="AE47" s="513"/>
      <c r="AF47" s="513"/>
      <c r="AG47" s="513"/>
      <c r="AH47" s="513"/>
      <c r="AI47" s="513"/>
      <c r="AJ47" s="513"/>
      <c r="AK47" s="513"/>
      <c r="AL47" s="513"/>
      <c r="AM47" s="513"/>
      <c r="AN47" s="513"/>
      <c r="AO47" s="513"/>
      <c r="AP47" s="513"/>
      <c r="AQ47" s="513"/>
    </row>
    <row r="48" spans="1:43" s="620" customFormat="1" ht="12.75">
      <c r="A48" s="370"/>
      <c r="B48" s="223"/>
      <c r="C48" s="223"/>
      <c r="D48" s="222"/>
      <c r="E48" s="588" t="s">
        <v>1434</v>
      </c>
      <c r="F48" s="951">
        <f>IF(ISBLANK(A_InstallationData!F107),"",A_InstallationData!F107)</f>
      </c>
      <c r="G48" s="952"/>
      <c r="H48" s="952"/>
      <c r="I48" s="952"/>
      <c r="J48" s="952"/>
      <c r="K48" s="952"/>
      <c r="L48" s="952"/>
      <c r="M48" s="952"/>
      <c r="N48" s="681"/>
      <c r="O48" s="223"/>
      <c r="P48" s="223"/>
      <c r="Q48" s="370"/>
      <c r="R48" s="370"/>
      <c r="S48" s="370"/>
      <c r="T48" s="370"/>
      <c r="U48" s="370"/>
      <c r="V48" s="370"/>
      <c r="W48" s="370"/>
      <c r="X48" s="370"/>
      <c r="Y48" s="370"/>
      <c r="Z48" s="370"/>
      <c r="AA48" s="370"/>
      <c r="AB48" s="513"/>
      <c r="AC48" s="513"/>
      <c r="AD48" s="513"/>
      <c r="AE48" s="513"/>
      <c r="AF48" s="513"/>
      <c r="AG48" s="513"/>
      <c r="AH48" s="513"/>
      <c r="AI48" s="513"/>
      <c r="AJ48" s="513"/>
      <c r="AK48" s="513"/>
      <c r="AL48" s="513"/>
      <c r="AM48" s="513"/>
      <c r="AN48" s="513"/>
      <c r="AO48" s="513"/>
      <c r="AP48" s="513"/>
      <c r="AQ48" s="513"/>
    </row>
    <row r="49" spans="1:43" s="620" customFormat="1" ht="12.75">
      <c r="A49" s="370"/>
      <c r="B49" s="223"/>
      <c r="C49" s="223"/>
      <c r="D49" s="222"/>
      <c r="E49" s="588" t="s">
        <v>1435</v>
      </c>
      <c r="F49" s="951">
        <f>IF(ISBLANK(A_InstallationData!F108),"",A_InstallationData!F108)</f>
      </c>
      <c r="G49" s="952"/>
      <c r="H49" s="952"/>
      <c r="I49" s="952"/>
      <c r="J49" s="952"/>
      <c r="K49" s="952"/>
      <c r="L49" s="952"/>
      <c r="M49" s="952"/>
      <c r="N49" s="681"/>
      <c r="O49" s="223"/>
      <c r="P49" s="223"/>
      <c r="Q49" s="370"/>
      <c r="R49" s="370"/>
      <c r="S49" s="370"/>
      <c r="T49" s="370"/>
      <c r="U49" s="370"/>
      <c r="V49" s="370"/>
      <c r="W49" s="370"/>
      <c r="X49" s="370"/>
      <c r="Y49" s="370"/>
      <c r="Z49" s="370"/>
      <c r="AA49" s="370"/>
      <c r="AB49" s="513"/>
      <c r="AC49" s="513"/>
      <c r="AD49" s="513"/>
      <c r="AE49" s="513"/>
      <c r="AF49" s="513"/>
      <c r="AG49" s="513"/>
      <c r="AH49" s="513"/>
      <c r="AI49" s="513"/>
      <c r="AJ49" s="513"/>
      <c r="AK49" s="513"/>
      <c r="AL49" s="513"/>
      <c r="AM49" s="513"/>
      <c r="AN49" s="513"/>
      <c r="AO49" s="513"/>
      <c r="AP49" s="513"/>
      <c r="AQ49" s="513"/>
    </row>
    <row r="50" spans="1:43" s="620" customFormat="1" ht="12.75">
      <c r="A50" s="370"/>
      <c r="B50" s="223"/>
      <c r="C50" s="223"/>
      <c r="D50" s="222"/>
      <c r="E50" s="588" t="s">
        <v>1436</v>
      </c>
      <c r="F50" s="951">
        <f>IF(ISBLANK(A_InstallationData!F109),"",A_InstallationData!F109)</f>
      </c>
      <c r="G50" s="952"/>
      <c r="H50" s="952"/>
      <c r="I50" s="952"/>
      <c r="J50" s="952"/>
      <c r="K50" s="952"/>
      <c r="L50" s="952"/>
      <c r="M50" s="952"/>
      <c r="N50" s="681"/>
      <c r="O50" s="223"/>
      <c r="P50" s="29"/>
      <c r="Q50" s="370"/>
      <c r="R50" s="370"/>
      <c r="S50" s="370"/>
      <c r="T50" s="370"/>
      <c r="U50" s="370"/>
      <c r="V50" s="370"/>
      <c r="W50" s="370"/>
      <c r="X50" s="370"/>
      <c r="Y50" s="370"/>
      <c r="Z50" s="370"/>
      <c r="AA50" s="370"/>
      <c r="AB50" s="513"/>
      <c r="AC50" s="513"/>
      <c r="AD50" s="513"/>
      <c r="AE50" s="513"/>
      <c r="AF50" s="513"/>
      <c r="AG50" s="513"/>
      <c r="AH50" s="513"/>
      <c r="AI50" s="513"/>
      <c r="AJ50" s="513"/>
      <c r="AK50" s="513"/>
      <c r="AL50" s="513"/>
      <c r="AM50" s="513"/>
      <c r="AN50" s="513"/>
      <c r="AO50" s="513"/>
      <c r="AP50" s="513"/>
      <c r="AQ50" s="513"/>
    </row>
    <row r="51" spans="1:43" s="620" customFormat="1" ht="12.75">
      <c r="A51" s="370"/>
      <c r="B51" s="223"/>
      <c r="C51" s="223"/>
      <c r="D51" s="223"/>
      <c r="E51" s="223"/>
      <c r="F51" s="223"/>
      <c r="G51" s="223"/>
      <c r="H51" s="223"/>
      <c r="I51" s="223"/>
      <c r="J51" s="223"/>
      <c r="K51" s="223"/>
      <c r="L51" s="223"/>
      <c r="M51" s="223"/>
      <c r="N51" s="223"/>
      <c r="O51" s="223"/>
      <c r="P51" s="223"/>
      <c r="Q51" s="370"/>
      <c r="R51" s="370"/>
      <c r="S51" s="370"/>
      <c r="T51" s="370"/>
      <c r="U51" s="370"/>
      <c r="V51" s="370"/>
      <c r="W51" s="370"/>
      <c r="X51" s="370"/>
      <c r="Y51" s="370"/>
      <c r="Z51" s="370"/>
      <c r="AA51" s="370"/>
      <c r="AB51" s="513"/>
      <c r="AC51" s="513"/>
      <c r="AD51" s="513"/>
      <c r="AE51" s="513"/>
      <c r="AF51" s="513"/>
      <c r="AG51" s="513"/>
      <c r="AH51" s="513"/>
      <c r="AI51" s="513"/>
      <c r="AJ51" s="513"/>
      <c r="AK51" s="513"/>
      <c r="AL51" s="513"/>
      <c r="AM51" s="513"/>
      <c r="AN51" s="513"/>
      <c r="AO51" s="513"/>
      <c r="AP51" s="513"/>
      <c r="AQ51" s="513"/>
    </row>
    <row r="52" spans="1:43" s="620" customFormat="1" ht="15">
      <c r="A52" s="370"/>
      <c r="B52" s="223"/>
      <c r="C52" s="18">
        <v>3</v>
      </c>
      <c r="D52" s="760" t="str">
        <f>Translations!$B$1361</f>
        <v>Technical connections (section A.VI):</v>
      </c>
      <c r="E52" s="695"/>
      <c r="F52" s="695"/>
      <c r="G52" s="695"/>
      <c r="H52" s="695"/>
      <c r="I52" s="695"/>
      <c r="J52" s="695"/>
      <c r="K52" s="695"/>
      <c r="L52" s="695"/>
      <c r="M52" s="695"/>
      <c r="N52" s="695"/>
      <c r="O52" s="223"/>
      <c r="P52" s="223"/>
      <c r="Q52" s="370"/>
      <c r="R52" s="370"/>
      <c r="S52" s="370"/>
      <c r="T52" s="370"/>
      <c r="U52" s="370"/>
      <c r="V52" s="370"/>
      <c r="W52" s="370"/>
      <c r="X52" s="370"/>
      <c r="Y52" s="370"/>
      <c r="Z52" s="370"/>
      <c r="AA52" s="370"/>
      <c r="AB52" s="513"/>
      <c r="AC52" s="513"/>
      <c r="AD52" s="513"/>
      <c r="AE52" s="513"/>
      <c r="AF52" s="513"/>
      <c r="AG52" s="513"/>
      <c r="AH52" s="513"/>
      <c r="AI52" s="513"/>
      <c r="AJ52" s="513"/>
      <c r="AK52" s="513"/>
      <c r="AL52" s="513"/>
      <c r="AM52" s="513"/>
      <c r="AN52" s="513"/>
      <c r="AO52" s="513"/>
      <c r="AP52" s="513"/>
      <c r="AQ52" s="513"/>
    </row>
    <row r="53" spans="1:43" s="620" customFormat="1" ht="12.75">
      <c r="A53" s="370"/>
      <c r="B53" s="223"/>
      <c r="C53" s="223"/>
      <c r="D53" s="223"/>
      <c r="E53" s="948" t="str">
        <f>Translations!$B$958</f>
        <v>Connection Name</v>
      </c>
      <c r="F53" s="949"/>
      <c r="G53" s="949"/>
      <c r="H53" s="950"/>
      <c r="I53" s="948" t="str">
        <f>Translations!$B$959</f>
        <v>CITL identifier, if applicable</v>
      </c>
      <c r="J53" s="949"/>
      <c r="K53" s="950"/>
      <c r="L53" s="948" t="str">
        <f>Translations!$B$960</f>
        <v>Entity Type</v>
      </c>
      <c r="M53" s="949"/>
      <c r="N53" s="949"/>
      <c r="O53" s="223"/>
      <c r="P53" s="223"/>
      <c r="Q53" s="370"/>
      <c r="R53" s="370"/>
      <c r="S53" s="370"/>
      <c r="T53" s="370"/>
      <c r="U53" s="370"/>
      <c r="V53" s="370"/>
      <c r="W53" s="370"/>
      <c r="X53" s="370"/>
      <c r="Y53" s="370"/>
      <c r="Z53" s="370"/>
      <c r="AA53" s="370"/>
      <c r="AB53" s="513"/>
      <c r="AC53" s="513"/>
      <c r="AD53" s="513"/>
      <c r="AE53" s="513"/>
      <c r="AF53" s="513"/>
      <c r="AG53" s="513"/>
      <c r="AH53" s="513"/>
      <c r="AI53" s="513"/>
      <c r="AJ53" s="513"/>
      <c r="AK53" s="513"/>
      <c r="AL53" s="513"/>
      <c r="AM53" s="513"/>
      <c r="AN53" s="513"/>
      <c r="AO53" s="513"/>
      <c r="AP53" s="513"/>
      <c r="AQ53" s="513"/>
    </row>
    <row r="54" spans="1:43" s="620" customFormat="1" ht="12.75">
      <c r="A54" s="370"/>
      <c r="B54" s="223"/>
      <c r="C54" s="223"/>
      <c r="D54" s="223">
        <v>1</v>
      </c>
      <c r="E54" s="939">
        <f aca="true" t="shared" si="0" ref="E54:E63">IF(INDEX(CNTR_ConnectionEntityList,$D54)=EUconst_NA,"",INDEX(CNTR_ConnectionEntityList,$D54))</f>
      </c>
      <c r="F54" s="940"/>
      <c r="G54" s="940"/>
      <c r="H54" s="941"/>
      <c r="I54" s="942">
        <f aca="true" t="shared" si="1" ref="I54:I63">INDEX(CNTR_ConnectionEntityListCITL_IDs,$D54)</f>
      </c>
      <c r="J54" s="943"/>
      <c r="K54" s="944"/>
      <c r="L54" s="939">
        <f aca="true" t="shared" si="2" ref="L54:L63">INDEX(CNTR_ConnectionEntityListTypes,$D54)</f>
      </c>
      <c r="M54" s="945"/>
      <c r="N54" s="946"/>
      <c r="O54" s="223"/>
      <c r="P54" s="223"/>
      <c r="Q54" s="370"/>
      <c r="R54" s="370"/>
      <c r="S54" s="370"/>
      <c r="T54" s="370"/>
      <c r="U54" s="370"/>
      <c r="V54" s="370"/>
      <c r="W54" s="370"/>
      <c r="X54" s="370"/>
      <c r="Y54" s="370"/>
      <c r="Z54" s="370"/>
      <c r="AA54" s="370"/>
      <c r="AB54" s="513"/>
      <c r="AC54" s="513"/>
      <c r="AD54" s="513"/>
      <c r="AE54" s="513"/>
      <c r="AF54" s="513"/>
      <c r="AG54" s="513"/>
      <c r="AH54" s="513"/>
      <c r="AI54" s="513"/>
      <c r="AJ54" s="513"/>
      <c r="AK54" s="513"/>
      <c r="AL54" s="513"/>
      <c r="AM54" s="513"/>
      <c r="AN54" s="513"/>
      <c r="AO54" s="513"/>
      <c r="AP54" s="513"/>
      <c r="AQ54" s="513"/>
    </row>
    <row r="55" spans="1:43" s="620" customFormat="1" ht="12.75">
      <c r="A55" s="370"/>
      <c r="B55" s="223"/>
      <c r="C55" s="223"/>
      <c r="D55" s="223">
        <v>2</v>
      </c>
      <c r="E55" s="939">
        <f t="shared" si="0"/>
      </c>
      <c r="F55" s="940"/>
      <c r="G55" s="940"/>
      <c r="H55" s="941"/>
      <c r="I55" s="942">
        <f t="shared" si="1"/>
      </c>
      <c r="J55" s="943"/>
      <c r="K55" s="944"/>
      <c r="L55" s="939">
        <f t="shared" si="2"/>
      </c>
      <c r="M55" s="945"/>
      <c r="N55" s="946"/>
      <c r="O55" s="223"/>
      <c r="P55" s="223"/>
      <c r="Q55" s="370"/>
      <c r="R55" s="370"/>
      <c r="S55" s="370"/>
      <c r="T55" s="370"/>
      <c r="U55" s="370"/>
      <c r="V55" s="370"/>
      <c r="W55" s="370"/>
      <c r="X55" s="370"/>
      <c r="Y55" s="370"/>
      <c r="Z55" s="370"/>
      <c r="AA55" s="370"/>
      <c r="AB55" s="513"/>
      <c r="AC55" s="513"/>
      <c r="AD55" s="513"/>
      <c r="AE55" s="513"/>
      <c r="AF55" s="513"/>
      <c r="AG55" s="513"/>
      <c r="AH55" s="513"/>
      <c r="AI55" s="513"/>
      <c r="AJ55" s="513"/>
      <c r="AK55" s="513"/>
      <c r="AL55" s="513"/>
      <c r="AM55" s="513"/>
      <c r="AN55" s="513"/>
      <c r="AO55" s="513"/>
      <c r="AP55" s="513"/>
      <c r="AQ55" s="513"/>
    </row>
    <row r="56" spans="1:43" s="620" customFormat="1" ht="12.75">
      <c r="A56" s="370"/>
      <c r="B56" s="223"/>
      <c r="C56" s="223"/>
      <c r="D56" s="223">
        <v>3</v>
      </c>
      <c r="E56" s="939">
        <f t="shared" si="0"/>
      </c>
      <c r="F56" s="940"/>
      <c r="G56" s="940"/>
      <c r="H56" s="941"/>
      <c r="I56" s="942">
        <f t="shared" si="1"/>
      </c>
      <c r="J56" s="943"/>
      <c r="K56" s="944"/>
      <c r="L56" s="939">
        <f t="shared" si="2"/>
      </c>
      <c r="M56" s="945"/>
      <c r="N56" s="946"/>
      <c r="O56" s="223"/>
      <c r="P56" s="223"/>
      <c r="Q56" s="370"/>
      <c r="R56" s="370"/>
      <c r="S56" s="370"/>
      <c r="T56" s="370"/>
      <c r="U56" s="370"/>
      <c r="V56" s="370"/>
      <c r="W56" s="370"/>
      <c r="X56" s="370"/>
      <c r="Y56" s="370"/>
      <c r="Z56" s="370"/>
      <c r="AA56" s="370"/>
      <c r="AB56" s="513"/>
      <c r="AC56" s="513"/>
      <c r="AD56" s="513"/>
      <c r="AE56" s="513"/>
      <c r="AF56" s="513"/>
      <c r="AG56" s="513"/>
      <c r="AH56" s="513"/>
      <c r="AI56" s="513"/>
      <c r="AJ56" s="513"/>
      <c r="AK56" s="513"/>
      <c r="AL56" s="513"/>
      <c r="AM56" s="513"/>
      <c r="AN56" s="513"/>
      <c r="AO56" s="513"/>
      <c r="AP56" s="513"/>
      <c r="AQ56" s="513"/>
    </row>
    <row r="57" spans="1:43" s="620" customFormat="1" ht="12.75">
      <c r="A57" s="370"/>
      <c r="B57" s="223"/>
      <c r="C57" s="223"/>
      <c r="D57" s="223">
        <v>4</v>
      </c>
      <c r="E57" s="939">
        <f t="shared" si="0"/>
      </c>
      <c r="F57" s="940"/>
      <c r="G57" s="940"/>
      <c r="H57" s="941"/>
      <c r="I57" s="942">
        <f t="shared" si="1"/>
      </c>
      <c r="J57" s="943"/>
      <c r="K57" s="944"/>
      <c r="L57" s="939">
        <f t="shared" si="2"/>
      </c>
      <c r="M57" s="945"/>
      <c r="N57" s="946"/>
      <c r="O57" s="223"/>
      <c r="P57" s="223"/>
      <c r="Q57" s="370"/>
      <c r="R57" s="370"/>
      <c r="S57" s="370"/>
      <c r="T57" s="370"/>
      <c r="U57" s="370"/>
      <c r="V57" s="370"/>
      <c r="W57" s="370"/>
      <c r="X57" s="370"/>
      <c r="Y57" s="370"/>
      <c r="Z57" s="370"/>
      <c r="AA57" s="370"/>
      <c r="AB57" s="513"/>
      <c r="AC57" s="513"/>
      <c r="AD57" s="513"/>
      <c r="AE57" s="513"/>
      <c r="AF57" s="513"/>
      <c r="AG57" s="513"/>
      <c r="AH57" s="513"/>
      <c r="AI57" s="513"/>
      <c r="AJ57" s="513"/>
      <c r="AK57" s="513"/>
      <c r="AL57" s="513"/>
      <c r="AM57" s="513"/>
      <c r="AN57" s="513"/>
      <c r="AO57" s="513"/>
      <c r="AP57" s="513"/>
      <c r="AQ57" s="513"/>
    </row>
    <row r="58" spans="1:43" s="620" customFormat="1" ht="12.75">
      <c r="A58" s="370"/>
      <c r="B58" s="223"/>
      <c r="C58" s="223"/>
      <c r="D58" s="223">
        <v>5</v>
      </c>
      <c r="E58" s="939">
        <f t="shared" si="0"/>
      </c>
      <c r="F58" s="940"/>
      <c r="G58" s="940"/>
      <c r="H58" s="941"/>
      <c r="I58" s="942">
        <f t="shared" si="1"/>
      </c>
      <c r="J58" s="943"/>
      <c r="K58" s="944"/>
      <c r="L58" s="939">
        <f t="shared" si="2"/>
      </c>
      <c r="M58" s="945"/>
      <c r="N58" s="946"/>
      <c r="O58" s="223"/>
      <c r="P58" s="223"/>
      <c r="Q58" s="370"/>
      <c r="R58" s="370"/>
      <c r="S58" s="370"/>
      <c r="T58" s="370"/>
      <c r="U58" s="370"/>
      <c r="V58" s="370"/>
      <c r="W58" s="370"/>
      <c r="X58" s="370"/>
      <c r="Y58" s="370"/>
      <c r="Z58" s="370"/>
      <c r="AA58" s="370"/>
      <c r="AB58" s="513"/>
      <c r="AC58" s="513"/>
      <c r="AD58" s="513"/>
      <c r="AE58" s="513"/>
      <c r="AF58" s="513"/>
      <c r="AG58" s="513"/>
      <c r="AH58" s="513"/>
      <c r="AI58" s="513"/>
      <c r="AJ58" s="513"/>
      <c r="AK58" s="513"/>
      <c r="AL58" s="513"/>
      <c r="AM58" s="513"/>
      <c r="AN58" s="513"/>
      <c r="AO58" s="513"/>
      <c r="AP58" s="513"/>
      <c r="AQ58" s="513"/>
    </row>
    <row r="59" spans="1:43" s="620" customFormat="1" ht="12.75">
      <c r="A59" s="370"/>
      <c r="B59" s="223"/>
      <c r="C59" s="223"/>
      <c r="D59" s="223">
        <v>6</v>
      </c>
      <c r="E59" s="939">
        <f t="shared" si="0"/>
      </c>
      <c r="F59" s="940"/>
      <c r="G59" s="940"/>
      <c r="H59" s="941"/>
      <c r="I59" s="942">
        <f t="shared" si="1"/>
      </c>
      <c r="J59" s="943"/>
      <c r="K59" s="944"/>
      <c r="L59" s="939">
        <f t="shared" si="2"/>
      </c>
      <c r="M59" s="945"/>
      <c r="N59" s="946"/>
      <c r="O59" s="223"/>
      <c r="P59" s="223"/>
      <c r="Q59" s="370"/>
      <c r="R59" s="370"/>
      <c r="S59" s="370"/>
      <c r="T59" s="370"/>
      <c r="U59" s="370"/>
      <c r="V59" s="370"/>
      <c r="W59" s="370"/>
      <c r="X59" s="370"/>
      <c r="Y59" s="370"/>
      <c r="Z59" s="370"/>
      <c r="AA59" s="370"/>
      <c r="AB59" s="513"/>
      <c r="AC59" s="513"/>
      <c r="AD59" s="513"/>
      <c r="AE59" s="513"/>
      <c r="AF59" s="513"/>
      <c r="AG59" s="513"/>
      <c r="AH59" s="513"/>
      <c r="AI59" s="513"/>
      <c r="AJ59" s="513"/>
      <c r="AK59" s="513"/>
      <c r="AL59" s="513"/>
      <c r="AM59" s="513"/>
      <c r="AN59" s="513"/>
      <c r="AO59" s="513"/>
      <c r="AP59" s="513"/>
      <c r="AQ59" s="513"/>
    </row>
    <row r="60" spans="1:43" s="620" customFormat="1" ht="12.75">
      <c r="A60" s="370"/>
      <c r="B60" s="223"/>
      <c r="C60" s="223"/>
      <c r="D60" s="223">
        <v>7</v>
      </c>
      <c r="E60" s="939">
        <f t="shared" si="0"/>
      </c>
      <c r="F60" s="940"/>
      <c r="G60" s="940"/>
      <c r="H60" s="941"/>
      <c r="I60" s="942">
        <f t="shared" si="1"/>
      </c>
      <c r="J60" s="943"/>
      <c r="K60" s="944"/>
      <c r="L60" s="939">
        <f t="shared" si="2"/>
      </c>
      <c r="M60" s="945"/>
      <c r="N60" s="946"/>
      <c r="O60" s="223"/>
      <c r="P60" s="223"/>
      <c r="Q60" s="370"/>
      <c r="R60" s="370"/>
      <c r="S60" s="370"/>
      <c r="T60" s="370"/>
      <c r="U60" s="370"/>
      <c r="V60" s="370"/>
      <c r="W60" s="370"/>
      <c r="X60" s="370"/>
      <c r="Y60" s="370"/>
      <c r="Z60" s="370"/>
      <c r="AA60" s="370"/>
      <c r="AB60" s="513"/>
      <c r="AC60" s="513"/>
      <c r="AD60" s="513"/>
      <c r="AE60" s="513"/>
      <c r="AF60" s="513"/>
      <c r="AG60" s="513"/>
      <c r="AH60" s="513"/>
      <c r="AI60" s="513"/>
      <c r="AJ60" s="513"/>
      <c r="AK60" s="513"/>
      <c r="AL60" s="513"/>
      <c r="AM60" s="513"/>
      <c r="AN60" s="513"/>
      <c r="AO60" s="513"/>
      <c r="AP60" s="513"/>
      <c r="AQ60" s="513"/>
    </row>
    <row r="61" spans="1:43" s="620" customFormat="1" ht="12.75">
      <c r="A61" s="370"/>
      <c r="B61" s="223"/>
      <c r="C61" s="223"/>
      <c r="D61" s="223">
        <v>8</v>
      </c>
      <c r="E61" s="939">
        <f t="shared" si="0"/>
      </c>
      <c r="F61" s="940"/>
      <c r="G61" s="940"/>
      <c r="H61" s="941"/>
      <c r="I61" s="942">
        <f t="shared" si="1"/>
      </c>
      <c r="J61" s="943"/>
      <c r="K61" s="944"/>
      <c r="L61" s="939">
        <f t="shared" si="2"/>
      </c>
      <c r="M61" s="945"/>
      <c r="N61" s="946"/>
      <c r="O61" s="223"/>
      <c r="P61" s="223"/>
      <c r="Q61" s="370"/>
      <c r="R61" s="370"/>
      <c r="S61" s="370"/>
      <c r="T61" s="370"/>
      <c r="U61" s="370"/>
      <c r="V61" s="370"/>
      <c r="W61" s="370"/>
      <c r="X61" s="370"/>
      <c r="Y61" s="370"/>
      <c r="Z61" s="370"/>
      <c r="AA61" s="370"/>
      <c r="AB61" s="513"/>
      <c r="AC61" s="513"/>
      <c r="AD61" s="513"/>
      <c r="AE61" s="513"/>
      <c r="AF61" s="513"/>
      <c r="AG61" s="513"/>
      <c r="AH61" s="513"/>
      <c r="AI61" s="513"/>
      <c r="AJ61" s="513"/>
      <c r="AK61" s="513"/>
      <c r="AL61" s="513"/>
      <c r="AM61" s="513"/>
      <c r="AN61" s="513"/>
      <c r="AO61" s="513"/>
      <c r="AP61" s="513"/>
      <c r="AQ61" s="513"/>
    </row>
    <row r="62" spans="1:43" s="620" customFormat="1" ht="12.75">
      <c r="A62" s="370"/>
      <c r="B62" s="223"/>
      <c r="C62" s="223"/>
      <c r="D62" s="223">
        <v>9</v>
      </c>
      <c r="E62" s="939">
        <f t="shared" si="0"/>
      </c>
      <c r="F62" s="940"/>
      <c r="G62" s="940"/>
      <c r="H62" s="941"/>
      <c r="I62" s="942">
        <f t="shared" si="1"/>
      </c>
      <c r="J62" s="943"/>
      <c r="K62" s="944"/>
      <c r="L62" s="939">
        <f t="shared" si="2"/>
      </c>
      <c r="M62" s="945"/>
      <c r="N62" s="946"/>
      <c r="O62" s="223"/>
      <c r="P62" s="223"/>
      <c r="Q62" s="370"/>
      <c r="R62" s="370"/>
      <c r="S62" s="370"/>
      <c r="T62" s="370"/>
      <c r="U62" s="370"/>
      <c r="V62" s="370"/>
      <c r="W62" s="370"/>
      <c r="X62" s="370"/>
      <c r="Y62" s="370"/>
      <c r="Z62" s="370"/>
      <c r="AA62" s="370"/>
      <c r="AB62" s="513"/>
      <c r="AC62" s="513"/>
      <c r="AD62" s="513"/>
      <c r="AE62" s="513"/>
      <c r="AF62" s="513"/>
      <c r="AG62" s="513"/>
      <c r="AH62" s="513"/>
      <c r="AI62" s="513"/>
      <c r="AJ62" s="513"/>
      <c r="AK62" s="513"/>
      <c r="AL62" s="513"/>
      <c r="AM62" s="513"/>
      <c r="AN62" s="513"/>
      <c r="AO62" s="513"/>
      <c r="AP62" s="513"/>
      <c r="AQ62" s="513"/>
    </row>
    <row r="63" spans="1:43" s="620" customFormat="1" ht="12.75">
      <c r="A63" s="370"/>
      <c r="B63" s="223"/>
      <c r="C63" s="223"/>
      <c r="D63" s="223">
        <v>10</v>
      </c>
      <c r="E63" s="939">
        <f t="shared" si="0"/>
      </c>
      <c r="F63" s="940"/>
      <c r="G63" s="940"/>
      <c r="H63" s="941"/>
      <c r="I63" s="942">
        <f t="shared" si="1"/>
      </c>
      <c r="J63" s="943"/>
      <c r="K63" s="944"/>
      <c r="L63" s="939">
        <f t="shared" si="2"/>
      </c>
      <c r="M63" s="945"/>
      <c r="N63" s="946"/>
      <c r="O63" s="223"/>
      <c r="P63" s="223"/>
      <c r="Q63" s="370"/>
      <c r="R63" s="370"/>
      <c r="S63" s="370"/>
      <c r="T63" s="370"/>
      <c r="U63" s="370"/>
      <c r="V63" s="370"/>
      <c r="W63" s="370"/>
      <c r="X63" s="370"/>
      <c r="Y63" s="370"/>
      <c r="Z63" s="370"/>
      <c r="AA63" s="370"/>
      <c r="AB63" s="513"/>
      <c r="AC63" s="513"/>
      <c r="AD63" s="513"/>
      <c r="AE63" s="513"/>
      <c r="AF63" s="513"/>
      <c r="AG63" s="513"/>
      <c r="AH63" s="513"/>
      <c r="AI63" s="513"/>
      <c r="AJ63" s="513"/>
      <c r="AK63" s="513"/>
      <c r="AL63" s="513"/>
      <c r="AM63" s="513"/>
      <c r="AN63" s="513"/>
      <c r="AO63" s="513"/>
      <c r="AP63" s="513"/>
      <c r="AQ63" s="513"/>
    </row>
    <row r="64" spans="1:43" s="620" customFormat="1" ht="25.5" customHeight="1">
      <c r="A64" s="370"/>
      <c r="B64" s="223"/>
      <c r="C64" s="223"/>
      <c r="D64" s="223"/>
      <c r="E64" s="223"/>
      <c r="F64" s="223"/>
      <c r="G64" s="223"/>
      <c r="H64" s="223"/>
      <c r="I64" s="223"/>
      <c r="J64" s="223"/>
      <c r="K64" s="223"/>
      <c r="L64" s="223"/>
      <c r="M64" s="223"/>
      <c r="N64" s="223"/>
      <c r="O64" s="223"/>
      <c r="P64" s="223"/>
      <c r="Q64" s="370"/>
      <c r="R64" s="370"/>
      <c r="S64" s="370"/>
      <c r="T64" s="370"/>
      <c r="U64" s="370"/>
      <c r="V64" s="370"/>
      <c r="W64" s="370"/>
      <c r="X64" s="370"/>
      <c r="Y64" s="370"/>
      <c r="Z64" s="370"/>
      <c r="AA64" s="370"/>
      <c r="AB64" s="513"/>
      <c r="AC64" s="513"/>
      <c r="AD64" s="513"/>
      <c r="AE64" s="513"/>
      <c r="AF64" s="513"/>
      <c r="AG64" s="513"/>
      <c r="AH64" s="513"/>
      <c r="AI64" s="513"/>
      <c r="AJ64" s="513"/>
      <c r="AK64" s="513"/>
      <c r="AL64" s="513"/>
      <c r="AM64" s="513"/>
      <c r="AN64" s="513"/>
      <c r="AO64" s="513"/>
      <c r="AP64" s="513"/>
      <c r="AQ64" s="513"/>
    </row>
    <row r="65" spans="1:43" s="617" customFormat="1" ht="18" customHeight="1">
      <c r="A65" s="214"/>
      <c r="B65" s="215"/>
      <c r="C65" s="367" t="s">
        <v>414</v>
      </c>
      <c r="D65" s="953" t="str">
        <f>Translations!$B$1589</f>
        <v>New allocation</v>
      </c>
      <c r="E65" s="953"/>
      <c r="F65" s="953"/>
      <c r="G65" s="953"/>
      <c r="H65" s="953"/>
      <c r="I65" s="953"/>
      <c r="J65" s="953"/>
      <c r="K65" s="953"/>
      <c r="L65" s="953"/>
      <c r="M65" s="953"/>
      <c r="N65" s="953"/>
      <c r="O65" s="216"/>
      <c r="P65" s="216"/>
      <c r="Q65" s="584"/>
      <c r="R65" s="536"/>
      <c r="S65" s="536"/>
      <c r="T65" s="536"/>
      <c r="U65" s="536"/>
      <c r="V65" s="536"/>
      <c r="W65" s="536"/>
      <c r="X65" s="536"/>
      <c r="Y65" s="536"/>
      <c r="Z65" s="536"/>
      <c r="AA65" s="536"/>
      <c r="AB65" s="513"/>
      <c r="AC65" s="513"/>
      <c r="AD65" s="513"/>
      <c r="AE65" s="513"/>
      <c r="AF65" s="513"/>
      <c r="AG65" s="513"/>
      <c r="AH65" s="513"/>
      <c r="AI65" s="513"/>
      <c r="AJ65" s="513"/>
      <c r="AK65" s="513"/>
      <c r="AL65" s="513"/>
      <c r="AM65" s="513"/>
      <c r="AN65" s="513"/>
      <c r="AO65" s="513"/>
      <c r="AP65" s="513"/>
      <c r="AQ65" s="513"/>
    </row>
    <row r="66" spans="1:43" s="614" customFormat="1" ht="12.75" customHeight="1">
      <c r="A66" s="4"/>
      <c r="B66" s="5"/>
      <c r="C66" s="5"/>
      <c r="D66" s="5"/>
      <c r="E66" s="5"/>
      <c r="F66" s="5"/>
      <c r="G66" s="5"/>
      <c r="H66" s="5"/>
      <c r="I66" s="5"/>
      <c r="J66" s="5"/>
      <c r="K66" s="5"/>
      <c r="L66" s="5"/>
      <c r="M66" s="9"/>
      <c r="N66" s="9"/>
      <c r="O66" s="9"/>
      <c r="P66" s="9"/>
      <c r="Q66" s="531"/>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row>
    <row r="67" spans="1:43" s="617" customFormat="1" ht="15" customHeight="1">
      <c r="A67" s="214"/>
      <c r="B67" s="215"/>
      <c r="C67" s="391">
        <v>1</v>
      </c>
      <c r="D67" s="894" t="str">
        <f>Translations!$B$1590</f>
        <v>New final allocation:</v>
      </c>
      <c r="E67" s="912"/>
      <c r="F67" s="912"/>
      <c r="G67" s="912"/>
      <c r="H67" s="912"/>
      <c r="I67" s="912"/>
      <c r="J67" s="912"/>
      <c r="K67" s="912"/>
      <c r="L67" s="912"/>
      <c r="M67" s="912"/>
      <c r="N67" s="912"/>
      <c r="O67" s="216"/>
      <c r="P67" s="216"/>
      <c r="Q67" s="584"/>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row>
    <row r="68" spans="1:43" s="614" customFormat="1" ht="12.75" customHeight="1">
      <c r="A68" s="4"/>
      <c r="B68" s="5"/>
      <c r="C68" s="5"/>
      <c r="D68" s="5"/>
      <c r="E68" s="5"/>
      <c r="F68" s="5"/>
      <c r="G68" s="5"/>
      <c r="H68" s="5"/>
      <c r="I68" s="5"/>
      <c r="J68" s="5"/>
      <c r="K68" s="5"/>
      <c r="L68" s="5"/>
      <c r="M68" s="9"/>
      <c r="N68" s="9"/>
      <c r="O68" s="9"/>
      <c r="P68" s="9"/>
      <c r="Q68" s="531"/>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row>
    <row r="69" spans="1:43" s="614" customFormat="1" ht="12.75" customHeight="1" thickBot="1">
      <c r="A69" s="4"/>
      <c r="B69" s="5"/>
      <c r="C69" s="22"/>
      <c r="D69" s="792" t="str">
        <f>Translations!$B$440</f>
        <v>Sub-installation</v>
      </c>
      <c r="E69" s="834"/>
      <c r="F69" s="908"/>
      <c r="G69" s="219">
        <v>2013</v>
      </c>
      <c r="H69" s="219">
        <v>2014</v>
      </c>
      <c r="I69" s="219">
        <v>2015</v>
      </c>
      <c r="J69" s="219">
        <v>2016</v>
      </c>
      <c r="K69" s="219">
        <v>2017</v>
      </c>
      <c r="L69" s="219">
        <v>2018</v>
      </c>
      <c r="M69" s="219">
        <v>2019</v>
      </c>
      <c r="N69" s="219">
        <v>2020</v>
      </c>
      <c r="O69" s="375"/>
      <c r="P69" s="372"/>
      <c r="Q69" s="531"/>
      <c r="R69" s="513"/>
      <c r="S69" s="513"/>
      <c r="T69" s="540" t="s">
        <v>1807</v>
      </c>
      <c r="U69" s="513"/>
      <c r="V69" s="540" t="s">
        <v>1968</v>
      </c>
      <c r="W69" s="513"/>
      <c r="X69" s="514">
        <v>1</v>
      </c>
      <c r="Y69" s="515">
        <v>2013</v>
      </c>
      <c r="Z69" s="515">
        <v>2014</v>
      </c>
      <c r="AA69" s="515">
        <v>2015</v>
      </c>
      <c r="AB69" s="515">
        <v>2016</v>
      </c>
      <c r="AC69" s="515">
        <v>2017</v>
      </c>
      <c r="AD69" s="515">
        <v>2018</v>
      </c>
      <c r="AE69" s="515">
        <v>2019</v>
      </c>
      <c r="AF69" s="515">
        <v>2020</v>
      </c>
      <c r="AG69" s="513"/>
      <c r="AH69" s="514">
        <v>2</v>
      </c>
      <c r="AI69" s="515">
        <v>2013</v>
      </c>
      <c r="AJ69" s="515">
        <v>2014</v>
      </c>
      <c r="AK69" s="515">
        <v>2015</v>
      </c>
      <c r="AL69" s="515">
        <v>2016</v>
      </c>
      <c r="AM69" s="515">
        <v>2017</v>
      </c>
      <c r="AN69" s="515">
        <v>2018</v>
      </c>
      <c r="AO69" s="515">
        <v>2019</v>
      </c>
      <c r="AP69" s="515">
        <v>2020</v>
      </c>
      <c r="AQ69" s="513"/>
    </row>
    <row r="70" spans="1:43" s="614" customFormat="1" ht="12.75" customHeight="1" thickBot="1">
      <c r="A70" s="4"/>
      <c r="B70" s="5"/>
      <c r="C70" s="218">
        <v>0</v>
      </c>
      <c r="D70" s="879" t="str">
        <f>Translations!$B$1447</f>
        <v>Phase before start</v>
      </c>
      <c r="E70" s="880"/>
      <c r="F70" s="881"/>
      <c r="G70" s="479">
        <f>IF(SUM(IF(ISERROR(Y70),0,Y70),IF(ISERROR(AI70),0,AI70))=0,"",ROUND(SUM(IF(ISERROR(Y70),0,Y70),IF(ISERROR(AI70),0,AI70)),0))</f>
      </c>
      <c r="H70" s="479">
        <f aca="true" t="shared" si="3" ref="H70:H87">IF(SUM(IF(ISERROR(Z70),0,Z70),IF(ISERROR(AJ70),0,AJ70))=0,"",ROUND(SUM(IF(ISERROR(Z70),0,Z70),IF(ISERROR(AJ70),0,AJ70)),0))</f>
      </c>
      <c r="I70" s="479">
        <f aca="true" t="shared" si="4" ref="I70:I87">IF(SUM(IF(ISERROR(AA70),0,AA70),IF(ISERROR(AK70),0,AK70))=0,"",ROUND(SUM(IF(ISERROR(AA70),0,AA70),IF(ISERROR(AK70),0,AK70)),0))</f>
      </c>
      <c r="J70" s="479">
        <f aca="true" t="shared" si="5" ref="J70:J87">IF(SUM(IF(ISERROR(AB70),0,AB70),IF(ISERROR(AL70),0,AL70))=0,"",ROUND(SUM(IF(ISERROR(AB70),0,AB70),IF(ISERROR(AL70),0,AL70)),0))</f>
      </c>
      <c r="K70" s="479">
        <f aca="true" t="shared" si="6" ref="K70:K87">IF(SUM(IF(ISERROR(AC70),0,AC70),IF(ISERROR(AM70),0,AM70))=0,"",ROUND(SUM(IF(ISERROR(AC70),0,AC70),IF(ISERROR(AM70),0,AM70)),0))</f>
      </c>
      <c r="L70" s="479">
        <f aca="true" t="shared" si="7" ref="L70:L87">IF(SUM(IF(ISERROR(AD70),0,AD70),IF(ISERROR(AN70),0,AN70))=0,"",ROUND(SUM(IF(ISERROR(AD70),0,AD70),IF(ISERROR(AN70),0,AN70)),0))</f>
      </c>
      <c r="M70" s="479">
        <f aca="true" t="shared" si="8" ref="M70:M87">IF(SUM(IF(ISERROR(AE70),0,AE70),IF(ISERROR(AO70),0,AO70))=0,"",ROUND(SUM(IF(ISERROR(AE70),0,AE70),IF(ISERROR(AO70),0,AO70)),0))</f>
      </c>
      <c r="N70" s="479">
        <f aca="true" t="shared" si="9" ref="N70:N87">IF(SUM(IF(ISERROR(AF70),0,AF70),IF(ISERROR(AP70),0,AP70))=0,"",ROUND(SUM(IF(ISERROR(AF70),0,AF70),IF(ISERROR(AP70),0,AP70)),0))</f>
      </c>
      <c r="O70" s="435"/>
      <c r="P70" s="372"/>
      <c r="Q70" s="542" t="str">
        <f aca="true" t="shared" si="10" ref="Q70:Q87">EUconst_CNTR_Finitial&amp;1&amp;"_"&amp;$D70</f>
        <v>FInitial_1_Phase before start</v>
      </c>
      <c r="R70" s="542" t="str">
        <f aca="true" t="shared" si="11" ref="R70:R87">EUconst_CNTR_Finitial&amp;2&amp;"_"&amp;$D70</f>
        <v>FInitial_2_Phase before start</v>
      </c>
      <c r="S70" s="513"/>
      <c r="T70" s="540"/>
      <c r="U70" s="513"/>
      <c r="V70" s="543">
        <f>Q35-2</f>
        <v>1</v>
      </c>
      <c r="W70" s="513"/>
      <c r="X70" s="516">
        <f>INDEX(CHOOSE($V70,C_MergerSplitTransfer!$H$9:$H$68,C_MergerSplitTransfer!$K$9:$K$68),MATCH(Q70,C_MergerSplitTransfer!$T$9:$T$68,0))</f>
        <v>0</v>
      </c>
      <c r="Y70" s="517">
        <f>IF(Y$69&lt;=CNTR_YearMergerSplit,"",INDEX(B_InitialSituation!G$9:G$156,MATCH($Q70,B_InitialSituation!$Q$9:$Q$156,0))*$X70)</f>
        <v>0</v>
      </c>
      <c r="Z70" s="517">
        <f>IF(Z$69&lt;=CNTR_YearMergerSplit,"",INDEX(B_InitialSituation!H$9:H$156,MATCH($Q70,B_InitialSituation!$Q$9:$Q$156,0))*$X70)</f>
        <v>0</v>
      </c>
      <c r="AA70" s="517">
        <f>IF(AA$69&lt;=CNTR_YearMergerSplit,"",INDEX(B_InitialSituation!I$9:I$156,MATCH($Q70,B_InitialSituation!$Q$9:$Q$156,0))*$X70)</f>
        <v>0</v>
      </c>
      <c r="AB70" s="517">
        <f>IF(AB$69&lt;=CNTR_YearMergerSplit,"",INDEX(B_InitialSituation!J$9:J$156,MATCH($Q70,B_InitialSituation!$Q$9:$Q$156,0))*$X70)</f>
        <v>0</v>
      </c>
      <c r="AC70" s="517">
        <f>IF(AC$69&lt;=CNTR_YearMergerSplit,"",INDEX(B_InitialSituation!K$9:K$156,MATCH($Q70,B_InitialSituation!$Q$9:$Q$156,0))*$X70)</f>
        <v>0</v>
      </c>
      <c r="AD70" s="517">
        <f>IF(AD$69&lt;=CNTR_YearMergerSplit,"",INDEX(B_InitialSituation!L$9:L$156,MATCH($Q70,B_InitialSituation!$Q$9:$Q$156,0))*$X70)</f>
        <v>0</v>
      </c>
      <c r="AE70" s="517">
        <f>IF(AE$69&lt;=CNTR_YearMergerSplit,"",INDEX(B_InitialSituation!M$9:M$156,MATCH($Q70,B_InitialSituation!$Q$9:$Q$156,0))*$X70)</f>
        <v>0</v>
      </c>
      <c r="AF70" s="517">
        <f>IF(AF$69&lt;=CNTR_YearMergerSplit,"",INDEX(B_InitialSituation!N$9:N$156,MATCH($Q70,B_InitialSituation!$Q$9:$Q$156,0))*$X70)</f>
        <v>0</v>
      </c>
      <c r="AG70" s="513"/>
      <c r="AH70" s="516">
        <f>INDEX(CHOOSE($V70,C_MergerSplitTransfer!$H$9:$H$68,C_MergerSplitTransfer!$K$9:$K$68),MATCH(R70,C_MergerSplitTransfer!$T$9:$T$68,0))</f>
        <v>0</v>
      </c>
      <c r="AI70" s="517">
        <f>IF(AI$69&lt;=CNTR_YearMergerSplit,"",INDEX(B_InitialSituation!G$9:G$156,MATCH($R70,B_InitialSituation!$Q$9:$Q$156,0))*$AH70)</f>
        <v>0</v>
      </c>
      <c r="AJ70" s="517">
        <f>IF(AJ$69&lt;=CNTR_YearMergerSplit,"",INDEX(B_InitialSituation!H$9:H$156,MATCH($R70,B_InitialSituation!$Q$9:$Q$156,0))*$AH70)</f>
        <v>0</v>
      </c>
      <c r="AK70" s="517">
        <f>IF(AK$69&lt;=CNTR_YearMergerSplit,"",INDEX(B_InitialSituation!I$9:I$156,MATCH($R70,B_InitialSituation!$Q$9:$Q$156,0))*$AH70)</f>
        <v>0</v>
      </c>
      <c r="AL70" s="517">
        <f>IF(AL$69&lt;=CNTR_YearMergerSplit,"",INDEX(B_InitialSituation!J$9:J$156,MATCH($R70,B_InitialSituation!$Q$9:$Q$156,0))*$AH70)</f>
        <v>0</v>
      </c>
      <c r="AM70" s="517">
        <f>IF(AM$69&lt;=CNTR_YearMergerSplit,"",INDEX(B_InitialSituation!K$9:K$156,MATCH($R70,B_InitialSituation!$Q$9:$Q$156,0))*$AH70)</f>
        <v>0</v>
      </c>
      <c r="AN70" s="517">
        <f>IF(AN$69&lt;=CNTR_YearMergerSplit,"",INDEX(B_InitialSituation!L$9:L$156,MATCH($R70,B_InitialSituation!$Q$9:$Q$156,0))*$AH70)</f>
        <v>0</v>
      </c>
      <c r="AO70" s="517">
        <f>IF(AO$69&lt;=CNTR_YearMergerSplit,"",INDEX(B_InitialSituation!M$9:M$156,MATCH($R70,B_InitialSituation!$Q$9:$Q$156,0))*$AH70)</f>
        <v>0</v>
      </c>
      <c r="AP70" s="517">
        <f>IF(AP$69&lt;=CNTR_YearMergerSplit,"",INDEX(B_InitialSituation!N$9:N$156,MATCH($R70,B_InitialSituation!$Q$9:$Q$156,0))*$AH70)</f>
        <v>0</v>
      </c>
      <c r="AQ70" s="513"/>
    </row>
    <row r="71" spans="1:43" s="614" customFormat="1" ht="12.75" customHeight="1">
      <c r="A71" s="4"/>
      <c r="B71" s="5"/>
      <c r="C71" s="32">
        <v>1</v>
      </c>
      <c r="D71" s="899">
        <f aca="true" t="shared" si="12" ref="D71:D80">IF(T71="","",T71)</f>
      </c>
      <c r="E71" s="900"/>
      <c r="F71" s="901"/>
      <c r="G71" s="480">
        <f aca="true" t="shared" si="13" ref="G71:G87">IF(SUM(IF(ISERROR(Y71),0,Y71),IF(ISERROR(AI71),0,AI71))=0,"",ROUND(SUM(IF(ISERROR(Y71),0,Y71),IF(ISERROR(AI71),0,AI71)),0))</f>
      </c>
      <c r="H71" s="480">
        <f t="shared" si="3"/>
      </c>
      <c r="I71" s="480">
        <f t="shared" si="4"/>
      </c>
      <c r="J71" s="480">
        <f t="shared" si="5"/>
      </c>
      <c r="K71" s="480">
        <f t="shared" si="6"/>
      </c>
      <c r="L71" s="480">
        <f t="shared" si="7"/>
      </c>
      <c r="M71" s="480">
        <f t="shared" si="8"/>
      </c>
      <c r="N71" s="480">
        <f t="shared" si="9"/>
      </c>
      <c r="O71" s="435"/>
      <c r="P71" s="572"/>
      <c r="Q71" s="542" t="str">
        <f t="shared" si="10"/>
        <v>FInitial_1_</v>
      </c>
      <c r="R71" s="542" t="str">
        <f t="shared" si="11"/>
        <v>FInitial_2_</v>
      </c>
      <c r="S71" s="513"/>
      <c r="T71" s="543">
        <f>IF(COUNTIF(B_InitialSituation!$T$9:$T$156,$C71)=0,"",INDEX(B_InitialSituation!$D$9:$D$156,MATCH($C71,B_InitialSituation!$T$9:$T$156,0)))</f>
      </c>
      <c r="U71" s="513"/>
      <c r="V71" s="544">
        <f aca="true" t="shared" si="14" ref="V71:V87">V70</f>
        <v>1</v>
      </c>
      <c r="W71" s="513"/>
      <c r="X71" s="518">
        <f>INDEX(CHOOSE($V71,C_MergerSplitTransfer!$H$9:$H$68,C_MergerSplitTransfer!$K$9:$K$68),MATCH(Q71,C_MergerSplitTransfer!$T$9:$T$68,0))</f>
        <v>0</v>
      </c>
      <c r="Y71" s="519">
        <f>IF(Y$69&lt;=CNTR_YearMergerSplit,"",INDEX(B_InitialSituation!G$9:G$156,MATCH($Q71,B_InitialSituation!$Q$9:$Q$156,0))*$X71)</f>
        <v>0</v>
      </c>
      <c r="Z71" s="519">
        <f>IF(Z$69&lt;=CNTR_YearMergerSplit,"",INDEX(B_InitialSituation!H$9:H$156,MATCH($Q71,B_InitialSituation!$Q$9:$Q$156,0))*$X71)</f>
        <v>0</v>
      </c>
      <c r="AA71" s="519">
        <f>IF(AA$69&lt;=CNTR_YearMergerSplit,"",INDEX(B_InitialSituation!I$9:I$156,MATCH($Q71,B_InitialSituation!$Q$9:$Q$156,0))*$X71)</f>
        <v>0</v>
      </c>
      <c r="AB71" s="519">
        <f>IF(AB$69&lt;=CNTR_YearMergerSplit,"",INDEX(B_InitialSituation!J$9:J$156,MATCH($Q71,B_InitialSituation!$Q$9:$Q$156,0))*$X71)</f>
        <v>0</v>
      </c>
      <c r="AC71" s="519">
        <f>IF(AC$69&lt;=CNTR_YearMergerSplit,"",INDEX(B_InitialSituation!K$9:K$156,MATCH($Q71,B_InitialSituation!$Q$9:$Q$156,0))*$X71)</f>
        <v>0</v>
      </c>
      <c r="AD71" s="519">
        <f>IF(AD$69&lt;=CNTR_YearMergerSplit,"",INDEX(B_InitialSituation!L$9:L$156,MATCH($Q71,B_InitialSituation!$Q$9:$Q$156,0))*$X71)</f>
        <v>0</v>
      </c>
      <c r="AE71" s="519">
        <f>IF(AE$69&lt;=CNTR_YearMergerSplit,"",INDEX(B_InitialSituation!M$9:M$156,MATCH($Q71,B_InitialSituation!$Q$9:$Q$156,0))*$X71)</f>
        <v>0</v>
      </c>
      <c r="AF71" s="519">
        <f>IF(AF$69&lt;=CNTR_YearMergerSplit,"",INDEX(B_InitialSituation!N$9:N$156,MATCH($Q71,B_InitialSituation!$Q$9:$Q$156,0))*$X71)</f>
        <v>0</v>
      </c>
      <c r="AG71" s="513"/>
      <c r="AH71" s="518">
        <f>INDEX(CHOOSE($V71,C_MergerSplitTransfer!$H$9:$H$68,C_MergerSplitTransfer!$K$9:$K$68),MATCH(R71,C_MergerSplitTransfer!$T$9:$T$68,0))</f>
        <v>0</v>
      </c>
      <c r="AI71" s="519">
        <f>IF(AI$69&lt;=CNTR_YearMergerSplit,"",INDEX(B_InitialSituation!G$9:G$156,MATCH($R71,B_InitialSituation!$Q$9:$Q$156,0))*$AH71)</f>
        <v>0</v>
      </c>
      <c r="AJ71" s="519">
        <f>IF(AJ$69&lt;=CNTR_YearMergerSplit,"",INDEX(B_InitialSituation!H$9:H$156,MATCH($R71,B_InitialSituation!$Q$9:$Q$156,0))*$AH71)</f>
        <v>0</v>
      </c>
      <c r="AK71" s="519">
        <f>IF(AK$69&lt;=CNTR_YearMergerSplit,"",INDEX(B_InitialSituation!I$9:I$156,MATCH($R71,B_InitialSituation!$Q$9:$Q$156,0))*$AH71)</f>
        <v>0</v>
      </c>
      <c r="AL71" s="519">
        <f>IF(AL$69&lt;=CNTR_YearMergerSplit,"",INDEX(B_InitialSituation!J$9:J$156,MATCH($R71,B_InitialSituation!$Q$9:$Q$156,0))*$AH71)</f>
        <v>0</v>
      </c>
      <c r="AM71" s="519">
        <f>IF(AM$69&lt;=CNTR_YearMergerSplit,"",INDEX(B_InitialSituation!K$9:K$156,MATCH($R71,B_InitialSituation!$Q$9:$Q$156,0))*$AH71)</f>
        <v>0</v>
      </c>
      <c r="AN71" s="519">
        <f>IF(AN$69&lt;=CNTR_YearMergerSplit,"",INDEX(B_InitialSituation!L$9:L$156,MATCH($R71,B_InitialSituation!$Q$9:$Q$156,0))*$AH71)</f>
        <v>0</v>
      </c>
      <c r="AO71" s="519">
        <f>IF(AO$69&lt;=CNTR_YearMergerSplit,"",INDEX(B_InitialSituation!M$9:M$156,MATCH($R71,B_InitialSituation!$Q$9:$Q$156,0))*$AH71)</f>
        <v>0</v>
      </c>
      <c r="AP71" s="519">
        <f>IF(AP$69&lt;=CNTR_YearMergerSplit,"",INDEX(B_InitialSituation!N$9:N$156,MATCH($R71,B_InitialSituation!$Q$9:$Q$156,0))*$AH71)</f>
        <v>0</v>
      </c>
      <c r="AQ71" s="513"/>
    </row>
    <row r="72" spans="1:43" s="614" customFormat="1" ht="12.75" customHeight="1">
      <c r="A72" s="4"/>
      <c r="B72" s="5"/>
      <c r="C72" s="32">
        <v>2</v>
      </c>
      <c r="D72" s="873">
        <f t="shared" si="12"/>
      </c>
      <c r="E72" s="874"/>
      <c r="F72" s="875"/>
      <c r="G72" s="481">
        <f t="shared" si="13"/>
      </c>
      <c r="H72" s="481">
        <f t="shared" si="3"/>
      </c>
      <c r="I72" s="481">
        <f t="shared" si="4"/>
      </c>
      <c r="J72" s="481">
        <f t="shared" si="5"/>
      </c>
      <c r="K72" s="481">
        <f t="shared" si="6"/>
      </c>
      <c r="L72" s="481">
        <f t="shared" si="7"/>
      </c>
      <c r="M72" s="481">
        <f t="shared" si="8"/>
      </c>
      <c r="N72" s="481">
        <f t="shared" si="9"/>
      </c>
      <c r="O72" s="375"/>
      <c r="P72" s="372"/>
      <c r="Q72" s="542" t="str">
        <f t="shared" si="10"/>
        <v>FInitial_1_</v>
      </c>
      <c r="R72" s="542" t="str">
        <f t="shared" si="11"/>
        <v>FInitial_2_</v>
      </c>
      <c r="S72" s="513"/>
      <c r="T72" s="544">
        <f>IF(COUNTIF(B_InitialSituation!$T$9:$T$156,$C72)=0,"",INDEX(B_InitialSituation!$D$9:$D$156,MATCH($C72,B_InitialSituation!$T$9:$T$156,0)))</f>
      </c>
      <c r="U72" s="513"/>
      <c r="V72" s="544">
        <f t="shared" si="14"/>
        <v>1</v>
      </c>
      <c r="W72" s="513"/>
      <c r="X72" s="520">
        <f>INDEX(CHOOSE($V72,C_MergerSplitTransfer!$H$9:$H$68,C_MergerSplitTransfer!$K$9:$K$68),MATCH(Q72,C_MergerSplitTransfer!$T$9:$T$68,0))</f>
        <v>0</v>
      </c>
      <c r="Y72" s="521">
        <f>IF(Y$69&lt;=CNTR_YearMergerSplit,"",INDEX(B_InitialSituation!G$9:G$156,MATCH($Q72,B_InitialSituation!$Q$9:$Q$156,0))*$X72)</f>
        <v>0</v>
      </c>
      <c r="Z72" s="521">
        <f>IF(Z$69&lt;=CNTR_YearMergerSplit,"",INDEX(B_InitialSituation!H$9:H$156,MATCH($Q72,B_InitialSituation!$Q$9:$Q$156,0))*$X72)</f>
        <v>0</v>
      </c>
      <c r="AA72" s="521">
        <f>IF(AA$69&lt;=CNTR_YearMergerSplit,"",INDEX(B_InitialSituation!I$9:I$156,MATCH($Q72,B_InitialSituation!$Q$9:$Q$156,0))*$X72)</f>
        <v>0</v>
      </c>
      <c r="AB72" s="521">
        <f>IF(AB$69&lt;=CNTR_YearMergerSplit,"",INDEX(B_InitialSituation!J$9:J$156,MATCH($Q72,B_InitialSituation!$Q$9:$Q$156,0))*$X72)</f>
        <v>0</v>
      </c>
      <c r="AC72" s="521">
        <f>IF(AC$69&lt;=CNTR_YearMergerSplit,"",INDEX(B_InitialSituation!K$9:K$156,MATCH($Q72,B_InitialSituation!$Q$9:$Q$156,0))*$X72)</f>
        <v>0</v>
      </c>
      <c r="AD72" s="521">
        <f>IF(AD$69&lt;=CNTR_YearMergerSplit,"",INDEX(B_InitialSituation!L$9:L$156,MATCH($Q72,B_InitialSituation!$Q$9:$Q$156,0))*$X72)</f>
        <v>0</v>
      </c>
      <c r="AE72" s="521">
        <f>IF(AE$69&lt;=CNTR_YearMergerSplit,"",INDEX(B_InitialSituation!M$9:M$156,MATCH($Q72,B_InitialSituation!$Q$9:$Q$156,0))*$X72)</f>
        <v>0</v>
      </c>
      <c r="AF72" s="521">
        <f>IF(AF$69&lt;=CNTR_YearMergerSplit,"",INDEX(B_InitialSituation!N$9:N$156,MATCH($Q72,B_InitialSituation!$Q$9:$Q$156,0))*$X72)</f>
        <v>0</v>
      </c>
      <c r="AG72" s="513"/>
      <c r="AH72" s="520">
        <f>INDEX(CHOOSE($V72,C_MergerSplitTransfer!$H$9:$H$68,C_MergerSplitTransfer!$K$9:$K$68),MATCH(R72,C_MergerSplitTransfer!$T$9:$T$68,0))</f>
        <v>0</v>
      </c>
      <c r="AI72" s="521">
        <f>IF(AI$69&lt;=CNTR_YearMergerSplit,"",INDEX(B_InitialSituation!G$9:G$156,MATCH($R72,B_InitialSituation!$Q$9:$Q$156,0))*$AH72)</f>
        <v>0</v>
      </c>
      <c r="AJ72" s="521">
        <f>IF(AJ$69&lt;=CNTR_YearMergerSplit,"",INDEX(B_InitialSituation!H$9:H$156,MATCH($R72,B_InitialSituation!$Q$9:$Q$156,0))*$AH72)</f>
        <v>0</v>
      </c>
      <c r="AK72" s="521">
        <f>IF(AK$69&lt;=CNTR_YearMergerSplit,"",INDEX(B_InitialSituation!I$9:I$156,MATCH($R72,B_InitialSituation!$Q$9:$Q$156,0))*$AH72)</f>
        <v>0</v>
      </c>
      <c r="AL72" s="521">
        <f>IF(AL$69&lt;=CNTR_YearMergerSplit,"",INDEX(B_InitialSituation!J$9:J$156,MATCH($R72,B_InitialSituation!$Q$9:$Q$156,0))*$AH72)</f>
        <v>0</v>
      </c>
      <c r="AM72" s="521">
        <f>IF(AM$69&lt;=CNTR_YearMergerSplit,"",INDEX(B_InitialSituation!K$9:K$156,MATCH($R72,B_InitialSituation!$Q$9:$Q$156,0))*$AH72)</f>
        <v>0</v>
      </c>
      <c r="AN72" s="521">
        <f>IF(AN$69&lt;=CNTR_YearMergerSplit,"",INDEX(B_InitialSituation!L$9:L$156,MATCH($R72,B_InitialSituation!$Q$9:$Q$156,0))*$AH72)</f>
        <v>0</v>
      </c>
      <c r="AO72" s="521">
        <f>IF(AO$69&lt;=CNTR_YearMergerSplit,"",INDEX(B_InitialSituation!M$9:M$156,MATCH($R72,B_InitialSituation!$Q$9:$Q$156,0))*$AH72)</f>
        <v>0</v>
      </c>
      <c r="AP72" s="521">
        <f>IF(AP$69&lt;=CNTR_YearMergerSplit,"",INDEX(B_InitialSituation!N$9:N$156,MATCH($R72,B_InitialSituation!$Q$9:$Q$156,0))*$AH72)</f>
        <v>0</v>
      </c>
      <c r="AQ72" s="513"/>
    </row>
    <row r="73" spans="1:43" s="614" customFormat="1" ht="12.75" customHeight="1">
      <c r="A73" s="4"/>
      <c r="B73" s="5"/>
      <c r="C73" s="32">
        <v>3</v>
      </c>
      <c r="D73" s="873">
        <f t="shared" si="12"/>
      </c>
      <c r="E73" s="874"/>
      <c r="F73" s="875"/>
      <c r="G73" s="481">
        <f t="shared" si="13"/>
      </c>
      <c r="H73" s="481">
        <f t="shared" si="3"/>
      </c>
      <c r="I73" s="481">
        <f t="shared" si="4"/>
      </c>
      <c r="J73" s="481">
        <f t="shared" si="5"/>
      </c>
      <c r="K73" s="481">
        <f t="shared" si="6"/>
      </c>
      <c r="L73" s="481">
        <f t="shared" si="7"/>
      </c>
      <c r="M73" s="481">
        <f t="shared" si="8"/>
      </c>
      <c r="N73" s="481">
        <f t="shared" si="9"/>
      </c>
      <c r="O73" s="375"/>
      <c r="P73" s="372"/>
      <c r="Q73" s="542" t="str">
        <f t="shared" si="10"/>
        <v>FInitial_1_</v>
      </c>
      <c r="R73" s="542" t="str">
        <f t="shared" si="11"/>
        <v>FInitial_2_</v>
      </c>
      <c r="S73" s="513"/>
      <c r="T73" s="544">
        <f>IF(COUNTIF(B_InitialSituation!$T$9:$T$156,$C73)=0,"",INDEX(B_InitialSituation!$D$9:$D$156,MATCH($C73,B_InitialSituation!$T$9:$T$156,0)))</f>
      </c>
      <c r="U73" s="513"/>
      <c r="V73" s="544">
        <f t="shared" si="14"/>
        <v>1</v>
      </c>
      <c r="W73" s="513"/>
      <c r="X73" s="520">
        <f>INDEX(CHOOSE($V73,C_MergerSplitTransfer!$H$9:$H$68,C_MergerSplitTransfer!$K$9:$K$68),MATCH(Q73,C_MergerSplitTransfer!$T$9:$T$68,0))</f>
        <v>0</v>
      </c>
      <c r="Y73" s="521">
        <f>IF(Y$69&lt;=CNTR_YearMergerSplit,"",INDEX(B_InitialSituation!G$9:G$156,MATCH($Q73,B_InitialSituation!$Q$9:$Q$156,0))*$X73)</f>
        <v>0</v>
      </c>
      <c r="Z73" s="521">
        <f>IF(Z$69&lt;=CNTR_YearMergerSplit,"",INDEX(B_InitialSituation!H$9:H$156,MATCH($Q73,B_InitialSituation!$Q$9:$Q$156,0))*$X73)</f>
        <v>0</v>
      </c>
      <c r="AA73" s="521">
        <f>IF(AA$69&lt;=CNTR_YearMergerSplit,"",INDEX(B_InitialSituation!I$9:I$156,MATCH($Q73,B_InitialSituation!$Q$9:$Q$156,0))*$X73)</f>
        <v>0</v>
      </c>
      <c r="AB73" s="521">
        <f>IF(AB$69&lt;=CNTR_YearMergerSplit,"",INDEX(B_InitialSituation!J$9:J$156,MATCH($Q73,B_InitialSituation!$Q$9:$Q$156,0))*$X73)</f>
        <v>0</v>
      </c>
      <c r="AC73" s="521">
        <f>IF(AC$69&lt;=CNTR_YearMergerSplit,"",INDEX(B_InitialSituation!K$9:K$156,MATCH($Q73,B_InitialSituation!$Q$9:$Q$156,0))*$X73)</f>
        <v>0</v>
      </c>
      <c r="AD73" s="521">
        <f>IF(AD$69&lt;=CNTR_YearMergerSplit,"",INDEX(B_InitialSituation!L$9:L$156,MATCH($Q73,B_InitialSituation!$Q$9:$Q$156,0))*$X73)</f>
        <v>0</v>
      </c>
      <c r="AE73" s="521">
        <f>IF(AE$69&lt;=CNTR_YearMergerSplit,"",INDEX(B_InitialSituation!M$9:M$156,MATCH($Q73,B_InitialSituation!$Q$9:$Q$156,0))*$X73)</f>
        <v>0</v>
      </c>
      <c r="AF73" s="521">
        <f>IF(AF$69&lt;=CNTR_YearMergerSplit,"",INDEX(B_InitialSituation!N$9:N$156,MATCH($Q73,B_InitialSituation!$Q$9:$Q$156,0))*$X73)</f>
        <v>0</v>
      </c>
      <c r="AG73" s="513"/>
      <c r="AH73" s="520">
        <f>INDEX(CHOOSE($V73,C_MergerSplitTransfer!$H$9:$H$68,C_MergerSplitTransfer!$K$9:$K$68),MATCH(R73,C_MergerSplitTransfer!$T$9:$T$68,0))</f>
        <v>0</v>
      </c>
      <c r="AI73" s="521">
        <f>IF(AI$69&lt;=CNTR_YearMergerSplit,"",INDEX(B_InitialSituation!G$9:G$156,MATCH($R73,B_InitialSituation!$Q$9:$Q$156,0))*$AH73)</f>
        <v>0</v>
      </c>
      <c r="AJ73" s="521">
        <f>IF(AJ$69&lt;=CNTR_YearMergerSplit,"",INDEX(B_InitialSituation!H$9:H$156,MATCH($R73,B_InitialSituation!$Q$9:$Q$156,0))*$AH73)</f>
        <v>0</v>
      </c>
      <c r="AK73" s="521">
        <f>IF(AK$69&lt;=CNTR_YearMergerSplit,"",INDEX(B_InitialSituation!I$9:I$156,MATCH($R73,B_InitialSituation!$Q$9:$Q$156,0))*$AH73)</f>
        <v>0</v>
      </c>
      <c r="AL73" s="521">
        <f>IF(AL$69&lt;=CNTR_YearMergerSplit,"",INDEX(B_InitialSituation!J$9:J$156,MATCH($R73,B_InitialSituation!$Q$9:$Q$156,0))*$AH73)</f>
        <v>0</v>
      </c>
      <c r="AM73" s="521">
        <f>IF(AM$69&lt;=CNTR_YearMergerSplit,"",INDEX(B_InitialSituation!K$9:K$156,MATCH($R73,B_InitialSituation!$Q$9:$Q$156,0))*$AH73)</f>
        <v>0</v>
      </c>
      <c r="AN73" s="521">
        <f>IF(AN$69&lt;=CNTR_YearMergerSplit,"",INDEX(B_InitialSituation!L$9:L$156,MATCH($R73,B_InitialSituation!$Q$9:$Q$156,0))*$AH73)</f>
        <v>0</v>
      </c>
      <c r="AO73" s="521">
        <f>IF(AO$69&lt;=CNTR_YearMergerSplit,"",INDEX(B_InitialSituation!M$9:M$156,MATCH($R73,B_InitialSituation!$Q$9:$Q$156,0))*$AH73)</f>
        <v>0</v>
      </c>
      <c r="AP73" s="521">
        <f>IF(AP$69&lt;=CNTR_YearMergerSplit,"",INDEX(B_InitialSituation!N$9:N$156,MATCH($R73,B_InitialSituation!$Q$9:$Q$156,0))*$AH73)</f>
        <v>0</v>
      </c>
      <c r="AQ73" s="513"/>
    </row>
    <row r="74" spans="1:43" s="614" customFormat="1" ht="12.75" customHeight="1">
      <c r="A74" s="4"/>
      <c r="B74" s="5"/>
      <c r="C74" s="32">
        <v>4</v>
      </c>
      <c r="D74" s="873">
        <f t="shared" si="12"/>
      </c>
      <c r="E74" s="874"/>
      <c r="F74" s="875"/>
      <c r="G74" s="481">
        <f t="shared" si="13"/>
      </c>
      <c r="H74" s="481">
        <f t="shared" si="3"/>
      </c>
      <c r="I74" s="481">
        <f t="shared" si="4"/>
      </c>
      <c r="J74" s="481">
        <f t="shared" si="5"/>
      </c>
      <c r="K74" s="481">
        <f t="shared" si="6"/>
      </c>
      <c r="L74" s="481">
        <f t="shared" si="7"/>
      </c>
      <c r="M74" s="481">
        <f t="shared" si="8"/>
      </c>
      <c r="N74" s="481">
        <f t="shared" si="9"/>
      </c>
      <c r="O74" s="375"/>
      <c r="P74" s="372"/>
      <c r="Q74" s="542" t="str">
        <f t="shared" si="10"/>
        <v>FInitial_1_</v>
      </c>
      <c r="R74" s="542" t="str">
        <f t="shared" si="11"/>
        <v>FInitial_2_</v>
      </c>
      <c r="S74" s="513"/>
      <c r="T74" s="544">
        <f>IF(COUNTIF(B_InitialSituation!$T$9:$T$156,$C74)=0,"",INDEX(B_InitialSituation!$D$9:$D$156,MATCH($C74,B_InitialSituation!$T$9:$T$156,0)))</f>
      </c>
      <c r="U74" s="513"/>
      <c r="V74" s="544">
        <f t="shared" si="14"/>
        <v>1</v>
      </c>
      <c r="W74" s="513"/>
      <c r="X74" s="520">
        <f>INDEX(CHOOSE($V74,C_MergerSplitTransfer!$H$9:$H$68,C_MergerSplitTransfer!$K$9:$K$68),MATCH(Q74,C_MergerSplitTransfer!$T$9:$T$68,0))</f>
        <v>0</v>
      </c>
      <c r="Y74" s="521">
        <f>IF(Y$69&lt;=CNTR_YearMergerSplit,"",INDEX(B_InitialSituation!G$9:G$156,MATCH($Q74,B_InitialSituation!$Q$9:$Q$156,0))*$X74)</f>
        <v>0</v>
      </c>
      <c r="Z74" s="521">
        <f>IF(Z$69&lt;=CNTR_YearMergerSplit,"",INDEX(B_InitialSituation!H$9:H$156,MATCH($Q74,B_InitialSituation!$Q$9:$Q$156,0))*$X74)</f>
        <v>0</v>
      </c>
      <c r="AA74" s="521">
        <f>IF(AA$69&lt;=CNTR_YearMergerSplit,"",INDEX(B_InitialSituation!I$9:I$156,MATCH($Q74,B_InitialSituation!$Q$9:$Q$156,0))*$X74)</f>
        <v>0</v>
      </c>
      <c r="AB74" s="521">
        <f>IF(AB$69&lt;=CNTR_YearMergerSplit,"",INDEX(B_InitialSituation!J$9:J$156,MATCH($Q74,B_InitialSituation!$Q$9:$Q$156,0))*$X74)</f>
        <v>0</v>
      </c>
      <c r="AC74" s="521">
        <f>IF(AC$69&lt;=CNTR_YearMergerSplit,"",INDEX(B_InitialSituation!K$9:K$156,MATCH($Q74,B_InitialSituation!$Q$9:$Q$156,0))*$X74)</f>
        <v>0</v>
      </c>
      <c r="AD74" s="521">
        <f>IF(AD$69&lt;=CNTR_YearMergerSplit,"",INDEX(B_InitialSituation!L$9:L$156,MATCH($Q74,B_InitialSituation!$Q$9:$Q$156,0))*$X74)</f>
        <v>0</v>
      </c>
      <c r="AE74" s="521">
        <f>IF(AE$69&lt;=CNTR_YearMergerSplit,"",INDEX(B_InitialSituation!M$9:M$156,MATCH($Q74,B_InitialSituation!$Q$9:$Q$156,0))*$X74)</f>
        <v>0</v>
      </c>
      <c r="AF74" s="521">
        <f>IF(AF$69&lt;=CNTR_YearMergerSplit,"",INDEX(B_InitialSituation!N$9:N$156,MATCH($Q74,B_InitialSituation!$Q$9:$Q$156,0))*$X74)</f>
        <v>0</v>
      </c>
      <c r="AG74" s="513"/>
      <c r="AH74" s="520">
        <f>INDEX(CHOOSE($V74,C_MergerSplitTransfer!$H$9:$H$68,C_MergerSplitTransfer!$K$9:$K$68),MATCH(R74,C_MergerSplitTransfer!$T$9:$T$68,0))</f>
        <v>0</v>
      </c>
      <c r="AI74" s="521">
        <f>IF(AI$69&lt;=CNTR_YearMergerSplit,"",INDEX(B_InitialSituation!G$9:G$156,MATCH($R74,B_InitialSituation!$Q$9:$Q$156,0))*$AH74)</f>
        <v>0</v>
      </c>
      <c r="AJ74" s="521">
        <f>IF(AJ$69&lt;=CNTR_YearMergerSplit,"",INDEX(B_InitialSituation!H$9:H$156,MATCH($R74,B_InitialSituation!$Q$9:$Q$156,0))*$AH74)</f>
        <v>0</v>
      </c>
      <c r="AK74" s="521">
        <f>IF(AK$69&lt;=CNTR_YearMergerSplit,"",INDEX(B_InitialSituation!I$9:I$156,MATCH($R74,B_InitialSituation!$Q$9:$Q$156,0))*$AH74)</f>
        <v>0</v>
      </c>
      <c r="AL74" s="521">
        <f>IF(AL$69&lt;=CNTR_YearMergerSplit,"",INDEX(B_InitialSituation!J$9:J$156,MATCH($R74,B_InitialSituation!$Q$9:$Q$156,0))*$AH74)</f>
        <v>0</v>
      </c>
      <c r="AM74" s="521">
        <f>IF(AM$69&lt;=CNTR_YearMergerSplit,"",INDEX(B_InitialSituation!K$9:K$156,MATCH($R74,B_InitialSituation!$Q$9:$Q$156,0))*$AH74)</f>
        <v>0</v>
      </c>
      <c r="AN74" s="521">
        <f>IF(AN$69&lt;=CNTR_YearMergerSplit,"",INDEX(B_InitialSituation!L$9:L$156,MATCH($R74,B_InitialSituation!$Q$9:$Q$156,0))*$AH74)</f>
        <v>0</v>
      </c>
      <c r="AO74" s="521">
        <f>IF(AO$69&lt;=CNTR_YearMergerSplit,"",INDEX(B_InitialSituation!M$9:M$156,MATCH($R74,B_InitialSituation!$Q$9:$Q$156,0))*$AH74)</f>
        <v>0</v>
      </c>
      <c r="AP74" s="521">
        <f>IF(AP$69&lt;=CNTR_YearMergerSplit,"",INDEX(B_InitialSituation!N$9:N$156,MATCH($R74,B_InitialSituation!$Q$9:$Q$156,0))*$AH74)</f>
        <v>0</v>
      </c>
      <c r="AQ74" s="513"/>
    </row>
    <row r="75" spans="1:43" s="614" customFormat="1" ht="12.75" customHeight="1">
      <c r="A75" s="4"/>
      <c r="B75" s="5"/>
      <c r="C75" s="32">
        <v>5</v>
      </c>
      <c r="D75" s="873">
        <f t="shared" si="12"/>
      </c>
      <c r="E75" s="874"/>
      <c r="F75" s="875"/>
      <c r="G75" s="481">
        <f t="shared" si="13"/>
      </c>
      <c r="H75" s="481">
        <f t="shared" si="3"/>
      </c>
      <c r="I75" s="481">
        <f t="shared" si="4"/>
      </c>
      <c r="J75" s="481">
        <f t="shared" si="5"/>
      </c>
      <c r="K75" s="481">
        <f t="shared" si="6"/>
      </c>
      <c r="L75" s="481">
        <f t="shared" si="7"/>
      </c>
      <c r="M75" s="481">
        <f t="shared" si="8"/>
      </c>
      <c r="N75" s="481">
        <f t="shared" si="9"/>
      </c>
      <c r="O75" s="375"/>
      <c r="P75" s="372"/>
      <c r="Q75" s="542" t="str">
        <f t="shared" si="10"/>
        <v>FInitial_1_</v>
      </c>
      <c r="R75" s="542" t="str">
        <f t="shared" si="11"/>
        <v>FInitial_2_</v>
      </c>
      <c r="S75" s="513"/>
      <c r="T75" s="544">
        <f>IF(COUNTIF(B_InitialSituation!$T$9:$T$156,$C75)=0,"",INDEX(B_InitialSituation!$D$9:$D$156,MATCH($C75,B_InitialSituation!$T$9:$T$156,0)))</f>
      </c>
      <c r="U75" s="513"/>
      <c r="V75" s="544">
        <f t="shared" si="14"/>
        <v>1</v>
      </c>
      <c r="W75" s="513"/>
      <c r="X75" s="520">
        <f>INDEX(CHOOSE($V75,C_MergerSplitTransfer!$H$9:$H$68,C_MergerSplitTransfer!$K$9:$K$68),MATCH(Q75,C_MergerSplitTransfer!$T$9:$T$68,0))</f>
        <v>0</v>
      </c>
      <c r="Y75" s="521">
        <f>IF(Y$69&lt;=CNTR_YearMergerSplit,"",INDEX(B_InitialSituation!G$9:G$156,MATCH($Q75,B_InitialSituation!$Q$9:$Q$156,0))*$X75)</f>
        <v>0</v>
      </c>
      <c r="Z75" s="521">
        <f>IF(Z$69&lt;=CNTR_YearMergerSplit,"",INDEX(B_InitialSituation!H$9:H$156,MATCH($Q75,B_InitialSituation!$Q$9:$Q$156,0))*$X75)</f>
        <v>0</v>
      </c>
      <c r="AA75" s="521">
        <f>IF(AA$69&lt;=CNTR_YearMergerSplit,"",INDEX(B_InitialSituation!I$9:I$156,MATCH($Q75,B_InitialSituation!$Q$9:$Q$156,0))*$X75)</f>
        <v>0</v>
      </c>
      <c r="AB75" s="521">
        <f>IF(AB$69&lt;=CNTR_YearMergerSplit,"",INDEX(B_InitialSituation!J$9:J$156,MATCH($Q75,B_InitialSituation!$Q$9:$Q$156,0))*$X75)</f>
        <v>0</v>
      </c>
      <c r="AC75" s="521">
        <f>IF(AC$69&lt;=CNTR_YearMergerSplit,"",INDEX(B_InitialSituation!K$9:K$156,MATCH($Q75,B_InitialSituation!$Q$9:$Q$156,0))*$X75)</f>
        <v>0</v>
      </c>
      <c r="AD75" s="521">
        <f>IF(AD$69&lt;=CNTR_YearMergerSplit,"",INDEX(B_InitialSituation!L$9:L$156,MATCH($Q75,B_InitialSituation!$Q$9:$Q$156,0))*$X75)</f>
        <v>0</v>
      </c>
      <c r="AE75" s="521">
        <f>IF(AE$69&lt;=CNTR_YearMergerSplit,"",INDEX(B_InitialSituation!M$9:M$156,MATCH($Q75,B_InitialSituation!$Q$9:$Q$156,0))*$X75)</f>
        <v>0</v>
      </c>
      <c r="AF75" s="521">
        <f>IF(AF$69&lt;=CNTR_YearMergerSplit,"",INDEX(B_InitialSituation!N$9:N$156,MATCH($Q75,B_InitialSituation!$Q$9:$Q$156,0))*$X75)</f>
        <v>0</v>
      </c>
      <c r="AG75" s="513"/>
      <c r="AH75" s="520">
        <f>INDEX(CHOOSE($V75,C_MergerSplitTransfer!$H$9:$H$68,C_MergerSplitTransfer!$K$9:$K$68),MATCH(R75,C_MergerSplitTransfer!$T$9:$T$68,0))</f>
        <v>0</v>
      </c>
      <c r="AI75" s="521">
        <f>IF(AI$69&lt;=CNTR_YearMergerSplit,"",INDEX(B_InitialSituation!G$9:G$156,MATCH($R75,B_InitialSituation!$Q$9:$Q$156,0))*$AH75)</f>
        <v>0</v>
      </c>
      <c r="AJ75" s="521">
        <f>IF(AJ$69&lt;=CNTR_YearMergerSplit,"",INDEX(B_InitialSituation!H$9:H$156,MATCH($R75,B_InitialSituation!$Q$9:$Q$156,0))*$AH75)</f>
        <v>0</v>
      </c>
      <c r="AK75" s="521">
        <f>IF(AK$69&lt;=CNTR_YearMergerSplit,"",INDEX(B_InitialSituation!I$9:I$156,MATCH($R75,B_InitialSituation!$Q$9:$Q$156,0))*$AH75)</f>
        <v>0</v>
      </c>
      <c r="AL75" s="521">
        <f>IF(AL$69&lt;=CNTR_YearMergerSplit,"",INDEX(B_InitialSituation!J$9:J$156,MATCH($R75,B_InitialSituation!$Q$9:$Q$156,0))*$AH75)</f>
        <v>0</v>
      </c>
      <c r="AM75" s="521">
        <f>IF(AM$69&lt;=CNTR_YearMergerSplit,"",INDEX(B_InitialSituation!K$9:K$156,MATCH($R75,B_InitialSituation!$Q$9:$Q$156,0))*$AH75)</f>
        <v>0</v>
      </c>
      <c r="AN75" s="521">
        <f>IF(AN$69&lt;=CNTR_YearMergerSplit,"",INDEX(B_InitialSituation!L$9:L$156,MATCH($R75,B_InitialSituation!$Q$9:$Q$156,0))*$AH75)</f>
        <v>0</v>
      </c>
      <c r="AO75" s="521">
        <f>IF(AO$69&lt;=CNTR_YearMergerSplit,"",INDEX(B_InitialSituation!M$9:M$156,MATCH($R75,B_InitialSituation!$Q$9:$Q$156,0))*$AH75)</f>
        <v>0</v>
      </c>
      <c r="AP75" s="521">
        <f>IF(AP$69&lt;=CNTR_YearMergerSplit,"",INDEX(B_InitialSituation!N$9:N$156,MATCH($R75,B_InitialSituation!$Q$9:$Q$156,0))*$AH75)</f>
        <v>0</v>
      </c>
      <c r="AQ75" s="513"/>
    </row>
    <row r="76" spans="1:43" s="614" customFormat="1" ht="12.75" customHeight="1">
      <c r="A76" s="4"/>
      <c r="B76" s="5"/>
      <c r="C76" s="32">
        <v>6</v>
      </c>
      <c r="D76" s="873">
        <f t="shared" si="12"/>
      </c>
      <c r="E76" s="874"/>
      <c r="F76" s="875"/>
      <c r="G76" s="481">
        <f t="shared" si="13"/>
      </c>
      <c r="H76" s="481">
        <f t="shared" si="3"/>
      </c>
      <c r="I76" s="481">
        <f t="shared" si="4"/>
      </c>
      <c r="J76" s="481">
        <f t="shared" si="5"/>
      </c>
      <c r="K76" s="481">
        <f t="shared" si="6"/>
      </c>
      <c r="L76" s="481">
        <f t="shared" si="7"/>
      </c>
      <c r="M76" s="481">
        <f t="shared" si="8"/>
      </c>
      <c r="N76" s="481">
        <f t="shared" si="9"/>
      </c>
      <c r="O76" s="375"/>
      <c r="P76" s="9"/>
      <c r="Q76" s="542" t="str">
        <f t="shared" si="10"/>
        <v>FInitial_1_</v>
      </c>
      <c r="R76" s="542" t="str">
        <f t="shared" si="11"/>
        <v>FInitial_2_</v>
      </c>
      <c r="S76" s="513"/>
      <c r="T76" s="544">
        <f>IF(COUNTIF(B_InitialSituation!$T$9:$T$156,$C76)=0,"",INDEX(B_InitialSituation!$D$9:$D$156,MATCH($C76,B_InitialSituation!$T$9:$T$156,0)))</f>
      </c>
      <c r="U76" s="513"/>
      <c r="V76" s="544">
        <f t="shared" si="14"/>
        <v>1</v>
      </c>
      <c r="W76" s="513"/>
      <c r="X76" s="520">
        <f>INDEX(CHOOSE($V76,C_MergerSplitTransfer!$H$9:$H$68,C_MergerSplitTransfer!$K$9:$K$68),MATCH(Q76,C_MergerSplitTransfer!$T$9:$T$68,0))</f>
        <v>0</v>
      </c>
      <c r="Y76" s="521">
        <f>IF(Y$69&lt;=CNTR_YearMergerSplit,"",INDEX(B_InitialSituation!G$9:G$156,MATCH($Q76,B_InitialSituation!$Q$9:$Q$156,0))*$X76)</f>
        <v>0</v>
      </c>
      <c r="Z76" s="521">
        <f>IF(Z$69&lt;=CNTR_YearMergerSplit,"",INDEX(B_InitialSituation!H$9:H$156,MATCH($Q76,B_InitialSituation!$Q$9:$Q$156,0))*$X76)</f>
        <v>0</v>
      </c>
      <c r="AA76" s="521">
        <f>IF(AA$69&lt;=CNTR_YearMergerSplit,"",INDEX(B_InitialSituation!I$9:I$156,MATCH($Q76,B_InitialSituation!$Q$9:$Q$156,0))*$X76)</f>
        <v>0</v>
      </c>
      <c r="AB76" s="521">
        <f>IF(AB$69&lt;=CNTR_YearMergerSplit,"",INDEX(B_InitialSituation!J$9:J$156,MATCH($Q76,B_InitialSituation!$Q$9:$Q$156,0))*$X76)</f>
        <v>0</v>
      </c>
      <c r="AC76" s="521">
        <f>IF(AC$69&lt;=CNTR_YearMergerSplit,"",INDEX(B_InitialSituation!K$9:K$156,MATCH($Q76,B_InitialSituation!$Q$9:$Q$156,0))*$X76)</f>
        <v>0</v>
      </c>
      <c r="AD76" s="521">
        <f>IF(AD$69&lt;=CNTR_YearMergerSplit,"",INDEX(B_InitialSituation!L$9:L$156,MATCH($Q76,B_InitialSituation!$Q$9:$Q$156,0))*$X76)</f>
        <v>0</v>
      </c>
      <c r="AE76" s="521">
        <f>IF(AE$69&lt;=CNTR_YearMergerSplit,"",INDEX(B_InitialSituation!M$9:M$156,MATCH($Q76,B_InitialSituation!$Q$9:$Q$156,0))*$X76)</f>
        <v>0</v>
      </c>
      <c r="AF76" s="521">
        <f>IF(AF$69&lt;=CNTR_YearMergerSplit,"",INDEX(B_InitialSituation!N$9:N$156,MATCH($Q76,B_InitialSituation!$Q$9:$Q$156,0))*$X76)</f>
        <v>0</v>
      </c>
      <c r="AG76" s="513"/>
      <c r="AH76" s="520">
        <f>INDEX(CHOOSE($V76,C_MergerSplitTransfer!$H$9:$H$68,C_MergerSplitTransfer!$K$9:$K$68),MATCH(R76,C_MergerSplitTransfer!$T$9:$T$68,0))</f>
        <v>0</v>
      </c>
      <c r="AI76" s="521">
        <f>IF(AI$69&lt;=CNTR_YearMergerSplit,"",INDEX(B_InitialSituation!G$9:G$156,MATCH($R76,B_InitialSituation!$Q$9:$Q$156,0))*$AH76)</f>
        <v>0</v>
      </c>
      <c r="AJ76" s="521">
        <f>IF(AJ$69&lt;=CNTR_YearMergerSplit,"",INDEX(B_InitialSituation!H$9:H$156,MATCH($R76,B_InitialSituation!$Q$9:$Q$156,0))*$AH76)</f>
        <v>0</v>
      </c>
      <c r="AK76" s="521">
        <f>IF(AK$69&lt;=CNTR_YearMergerSplit,"",INDEX(B_InitialSituation!I$9:I$156,MATCH($R76,B_InitialSituation!$Q$9:$Q$156,0))*$AH76)</f>
        <v>0</v>
      </c>
      <c r="AL76" s="521">
        <f>IF(AL$69&lt;=CNTR_YearMergerSplit,"",INDEX(B_InitialSituation!J$9:J$156,MATCH($R76,B_InitialSituation!$Q$9:$Q$156,0))*$AH76)</f>
        <v>0</v>
      </c>
      <c r="AM76" s="521">
        <f>IF(AM$69&lt;=CNTR_YearMergerSplit,"",INDEX(B_InitialSituation!K$9:K$156,MATCH($R76,B_InitialSituation!$Q$9:$Q$156,0))*$AH76)</f>
        <v>0</v>
      </c>
      <c r="AN76" s="521">
        <f>IF(AN$69&lt;=CNTR_YearMergerSplit,"",INDEX(B_InitialSituation!L$9:L$156,MATCH($R76,B_InitialSituation!$Q$9:$Q$156,0))*$AH76)</f>
        <v>0</v>
      </c>
      <c r="AO76" s="521">
        <f>IF(AO$69&lt;=CNTR_YearMergerSplit,"",INDEX(B_InitialSituation!M$9:M$156,MATCH($R76,B_InitialSituation!$Q$9:$Q$156,0))*$AH76)</f>
        <v>0</v>
      </c>
      <c r="AP76" s="521">
        <f>IF(AP$69&lt;=CNTR_YearMergerSplit,"",INDEX(B_InitialSituation!N$9:N$156,MATCH($R76,B_InitialSituation!$Q$9:$Q$156,0))*$AH76)</f>
        <v>0</v>
      </c>
      <c r="AQ76" s="513"/>
    </row>
    <row r="77" spans="1:43" s="614" customFormat="1" ht="12.75" customHeight="1">
      <c r="A77" s="4"/>
      <c r="B77" s="5"/>
      <c r="C77" s="32">
        <v>7</v>
      </c>
      <c r="D77" s="873">
        <f t="shared" si="12"/>
      </c>
      <c r="E77" s="874"/>
      <c r="F77" s="875"/>
      <c r="G77" s="481">
        <f t="shared" si="13"/>
      </c>
      <c r="H77" s="481">
        <f t="shared" si="3"/>
      </c>
      <c r="I77" s="481">
        <f t="shared" si="4"/>
      </c>
      <c r="J77" s="481">
        <f t="shared" si="5"/>
      </c>
      <c r="K77" s="481">
        <f t="shared" si="6"/>
      </c>
      <c r="L77" s="481">
        <f t="shared" si="7"/>
      </c>
      <c r="M77" s="481">
        <f t="shared" si="8"/>
      </c>
      <c r="N77" s="481">
        <f t="shared" si="9"/>
      </c>
      <c r="O77" s="375"/>
      <c r="P77" s="9"/>
      <c r="Q77" s="542" t="str">
        <f t="shared" si="10"/>
        <v>FInitial_1_</v>
      </c>
      <c r="R77" s="542" t="str">
        <f t="shared" si="11"/>
        <v>FInitial_2_</v>
      </c>
      <c r="S77" s="513"/>
      <c r="T77" s="544">
        <f>IF(COUNTIF(B_InitialSituation!$T$9:$T$156,$C77)=0,"",INDEX(B_InitialSituation!$D$9:$D$156,MATCH($C77,B_InitialSituation!$T$9:$T$156,0)))</f>
      </c>
      <c r="U77" s="513"/>
      <c r="V77" s="544">
        <f t="shared" si="14"/>
        <v>1</v>
      </c>
      <c r="W77" s="513"/>
      <c r="X77" s="520">
        <f>INDEX(CHOOSE($V77,C_MergerSplitTransfer!$H$9:$H$68,C_MergerSplitTransfer!$K$9:$K$68),MATCH(Q77,C_MergerSplitTransfer!$T$9:$T$68,0))</f>
        <v>0</v>
      </c>
      <c r="Y77" s="521">
        <f>IF(Y$69&lt;=CNTR_YearMergerSplit,"",INDEX(B_InitialSituation!G$9:G$156,MATCH($Q77,B_InitialSituation!$Q$9:$Q$156,0))*$X77)</f>
        <v>0</v>
      </c>
      <c r="Z77" s="521">
        <f>IF(Z$69&lt;=CNTR_YearMergerSplit,"",INDEX(B_InitialSituation!H$9:H$156,MATCH($Q77,B_InitialSituation!$Q$9:$Q$156,0))*$X77)</f>
        <v>0</v>
      </c>
      <c r="AA77" s="521">
        <f>IF(AA$69&lt;=CNTR_YearMergerSplit,"",INDEX(B_InitialSituation!I$9:I$156,MATCH($Q77,B_InitialSituation!$Q$9:$Q$156,0))*$X77)</f>
        <v>0</v>
      </c>
      <c r="AB77" s="521">
        <f>IF(AB$69&lt;=CNTR_YearMergerSplit,"",INDEX(B_InitialSituation!J$9:J$156,MATCH($Q77,B_InitialSituation!$Q$9:$Q$156,0))*$X77)</f>
        <v>0</v>
      </c>
      <c r="AC77" s="521">
        <f>IF(AC$69&lt;=CNTR_YearMergerSplit,"",INDEX(B_InitialSituation!K$9:K$156,MATCH($Q77,B_InitialSituation!$Q$9:$Q$156,0))*$X77)</f>
        <v>0</v>
      </c>
      <c r="AD77" s="521">
        <f>IF(AD$69&lt;=CNTR_YearMergerSplit,"",INDEX(B_InitialSituation!L$9:L$156,MATCH($Q77,B_InitialSituation!$Q$9:$Q$156,0))*$X77)</f>
        <v>0</v>
      </c>
      <c r="AE77" s="521">
        <f>IF(AE$69&lt;=CNTR_YearMergerSplit,"",INDEX(B_InitialSituation!M$9:M$156,MATCH($Q77,B_InitialSituation!$Q$9:$Q$156,0))*$X77)</f>
        <v>0</v>
      </c>
      <c r="AF77" s="521">
        <f>IF(AF$69&lt;=CNTR_YearMergerSplit,"",INDEX(B_InitialSituation!N$9:N$156,MATCH($Q77,B_InitialSituation!$Q$9:$Q$156,0))*$X77)</f>
        <v>0</v>
      </c>
      <c r="AG77" s="513"/>
      <c r="AH77" s="520">
        <f>INDEX(CHOOSE($V77,C_MergerSplitTransfer!$H$9:$H$68,C_MergerSplitTransfer!$K$9:$K$68),MATCH(R77,C_MergerSplitTransfer!$T$9:$T$68,0))</f>
        <v>0</v>
      </c>
      <c r="AI77" s="521">
        <f>IF(AI$69&lt;=CNTR_YearMergerSplit,"",INDEX(B_InitialSituation!G$9:G$156,MATCH($R77,B_InitialSituation!$Q$9:$Q$156,0))*$AH77)</f>
        <v>0</v>
      </c>
      <c r="AJ77" s="521">
        <f>IF(AJ$69&lt;=CNTR_YearMergerSplit,"",INDEX(B_InitialSituation!H$9:H$156,MATCH($R77,B_InitialSituation!$Q$9:$Q$156,0))*$AH77)</f>
        <v>0</v>
      </c>
      <c r="AK77" s="521">
        <f>IF(AK$69&lt;=CNTR_YearMergerSplit,"",INDEX(B_InitialSituation!I$9:I$156,MATCH($R77,B_InitialSituation!$Q$9:$Q$156,0))*$AH77)</f>
        <v>0</v>
      </c>
      <c r="AL77" s="521">
        <f>IF(AL$69&lt;=CNTR_YearMergerSplit,"",INDEX(B_InitialSituation!J$9:J$156,MATCH($R77,B_InitialSituation!$Q$9:$Q$156,0))*$AH77)</f>
        <v>0</v>
      </c>
      <c r="AM77" s="521">
        <f>IF(AM$69&lt;=CNTR_YearMergerSplit,"",INDEX(B_InitialSituation!K$9:K$156,MATCH($R77,B_InitialSituation!$Q$9:$Q$156,0))*$AH77)</f>
        <v>0</v>
      </c>
      <c r="AN77" s="521">
        <f>IF(AN$69&lt;=CNTR_YearMergerSplit,"",INDEX(B_InitialSituation!L$9:L$156,MATCH($R77,B_InitialSituation!$Q$9:$Q$156,0))*$AH77)</f>
        <v>0</v>
      </c>
      <c r="AO77" s="521">
        <f>IF(AO$69&lt;=CNTR_YearMergerSplit,"",INDEX(B_InitialSituation!M$9:M$156,MATCH($R77,B_InitialSituation!$Q$9:$Q$156,0))*$AH77)</f>
        <v>0</v>
      </c>
      <c r="AP77" s="521">
        <f>IF(AP$69&lt;=CNTR_YearMergerSplit,"",INDEX(B_InitialSituation!N$9:N$156,MATCH($R77,B_InitialSituation!$Q$9:$Q$156,0))*$AH77)</f>
        <v>0</v>
      </c>
      <c r="AQ77" s="513"/>
    </row>
    <row r="78" spans="1:43" s="614" customFormat="1" ht="12.75" customHeight="1">
      <c r="A78" s="4"/>
      <c r="B78" s="5"/>
      <c r="C78" s="32">
        <v>8</v>
      </c>
      <c r="D78" s="873">
        <f t="shared" si="12"/>
      </c>
      <c r="E78" s="874"/>
      <c r="F78" s="875"/>
      <c r="G78" s="481">
        <f t="shared" si="13"/>
      </c>
      <c r="H78" s="481">
        <f t="shared" si="3"/>
      </c>
      <c r="I78" s="481">
        <f t="shared" si="4"/>
      </c>
      <c r="J78" s="481">
        <f t="shared" si="5"/>
      </c>
      <c r="K78" s="481">
        <f t="shared" si="6"/>
      </c>
      <c r="L78" s="481">
        <f t="shared" si="7"/>
      </c>
      <c r="M78" s="481">
        <f t="shared" si="8"/>
      </c>
      <c r="N78" s="481">
        <f t="shared" si="9"/>
      </c>
      <c r="O78" s="375"/>
      <c r="P78" s="9"/>
      <c r="Q78" s="542" t="str">
        <f t="shared" si="10"/>
        <v>FInitial_1_</v>
      </c>
      <c r="R78" s="542" t="str">
        <f t="shared" si="11"/>
        <v>FInitial_2_</v>
      </c>
      <c r="S78" s="513"/>
      <c r="T78" s="544">
        <f>IF(COUNTIF(B_InitialSituation!$T$9:$T$156,$C78)=0,"",INDEX(B_InitialSituation!$D$9:$D$156,MATCH($C78,B_InitialSituation!$T$9:$T$156,0)))</f>
      </c>
      <c r="U78" s="513"/>
      <c r="V78" s="544">
        <f t="shared" si="14"/>
        <v>1</v>
      </c>
      <c r="W78" s="513"/>
      <c r="X78" s="520">
        <f>INDEX(CHOOSE($V78,C_MergerSplitTransfer!$H$9:$H$68,C_MergerSplitTransfer!$K$9:$K$68),MATCH(Q78,C_MergerSplitTransfer!$T$9:$T$68,0))</f>
        <v>0</v>
      </c>
      <c r="Y78" s="521">
        <f>IF(Y$69&lt;=CNTR_YearMergerSplit,"",INDEX(B_InitialSituation!G$9:G$156,MATCH($Q78,B_InitialSituation!$Q$9:$Q$156,0))*$X78)</f>
        <v>0</v>
      </c>
      <c r="Z78" s="521">
        <f>IF(Z$69&lt;=CNTR_YearMergerSplit,"",INDEX(B_InitialSituation!H$9:H$156,MATCH($Q78,B_InitialSituation!$Q$9:$Q$156,0))*$X78)</f>
        <v>0</v>
      </c>
      <c r="AA78" s="521">
        <f>IF(AA$69&lt;=CNTR_YearMergerSplit,"",INDEX(B_InitialSituation!I$9:I$156,MATCH($Q78,B_InitialSituation!$Q$9:$Q$156,0))*$X78)</f>
        <v>0</v>
      </c>
      <c r="AB78" s="521">
        <f>IF(AB$69&lt;=CNTR_YearMergerSplit,"",INDEX(B_InitialSituation!J$9:J$156,MATCH($Q78,B_InitialSituation!$Q$9:$Q$156,0))*$X78)</f>
        <v>0</v>
      </c>
      <c r="AC78" s="521">
        <f>IF(AC$69&lt;=CNTR_YearMergerSplit,"",INDEX(B_InitialSituation!K$9:K$156,MATCH($Q78,B_InitialSituation!$Q$9:$Q$156,0))*$X78)</f>
        <v>0</v>
      </c>
      <c r="AD78" s="521">
        <f>IF(AD$69&lt;=CNTR_YearMergerSplit,"",INDEX(B_InitialSituation!L$9:L$156,MATCH($Q78,B_InitialSituation!$Q$9:$Q$156,0))*$X78)</f>
        <v>0</v>
      </c>
      <c r="AE78" s="521">
        <f>IF(AE$69&lt;=CNTR_YearMergerSplit,"",INDEX(B_InitialSituation!M$9:M$156,MATCH($Q78,B_InitialSituation!$Q$9:$Q$156,0))*$X78)</f>
        <v>0</v>
      </c>
      <c r="AF78" s="521">
        <f>IF(AF$69&lt;=CNTR_YearMergerSplit,"",INDEX(B_InitialSituation!N$9:N$156,MATCH($Q78,B_InitialSituation!$Q$9:$Q$156,0))*$X78)</f>
        <v>0</v>
      </c>
      <c r="AG78" s="513"/>
      <c r="AH78" s="520">
        <f>INDEX(CHOOSE($V78,C_MergerSplitTransfer!$H$9:$H$68,C_MergerSplitTransfer!$K$9:$K$68),MATCH(R78,C_MergerSplitTransfer!$T$9:$T$68,0))</f>
        <v>0</v>
      </c>
      <c r="AI78" s="521">
        <f>IF(AI$69&lt;=CNTR_YearMergerSplit,"",INDEX(B_InitialSituation!G$9:G$156,MATCH($R78,B_InitialSituation!$Q$9:$Q$156,0))*$AH78)</f>
        <v>0</v>
      </c>
      <c r="AJ78" s="521">
        <f>IF(AJ$69&lt;=CNTR_YearMergerSplit,"",INDEX(B_InitialSituation!H$9:H$156,MATCH($R78,B_InitialSituation!$Q$9:$Q$156,0))*$AH78)</f>
        <v>0</v>
      </c>
      <c r="AK78" s="521">
        <f>IF(AK$69&lt;=CNTR_YearMergerSplit,"",INDEX(B_InitialSituation!I$9:I$156,MATCH($R78,B_InitialSituation!$Q$9:$Q$156,0))*$AH78)</f>
        <v>0</v>
      </c>
      <c r="AL78" s="521">
        <f>IF(AL$69&lt;=CNTR_YearMergerSplit,"",INDEX(B_InitialSituation!J$9:J$156,MATCH($R78,B_InitialSituation!$Q$9:$Q$156,0))*$AH78)</f>
        <v>0</v>
      </c>
      <c r="AM78" s="521">
        <f>IF(AM$69&lt;=CNTR_YearMergerSplit,"",INDEX(B_InitialSituation!K$9:K$156,MATCH($R78,B_InitialSituation!$Q$9:$Q$156,0))*$AH78)</f>
        <v>0</v>
      </c>
      <c r="AN78" s="521">
        <f>IF(AN$69&lt;=CNTR_YearMergerSplit,"",INDEX(B_InitialSituation!L$9:L$156,MATCH($R78,B_InitialSituation!$Q$9:$Q$156,0))*$AH78)</f>
        <v>0</v>
      </c>
      <c r="AO78" s="521">
        <f>IF(AO$69&lt;=CNTR_YearMergerSplit,"",INDEX(B_InitialSituation!M$9:M$156,MATCH($R78,B_InitialSituation!$Q$9:$Q$156,0))*$AH78)</f>
        <v>0</v>
      </c>
      <c r="AP78" s="521">
        <f>IF(AP$69&lt;=CNTR_YearMergerSplit,"",INDEX(B_InitialSituation!N$9:N$156,MATCH($R78,B_InitialSituation!$Q$9:$Q$156,0))*$AH78)</f>
        <v>0</v>
      </c>
      <c r="AQ78" s="513"/>
    </row>
    <row r="79" spans="1:43" s="614" customFormat="1" ht="12.75" customHeight="1">
      <c r="A79" s="4"/>
      <c r="B79" s="5"/>
      <c r="C79" s="32">
        <v>9</v>
      </c>
      <c r="D79" s="873">
        <f t="shared" si="12"/>
      </c>
      <c r="E79" s="874"/>
      <c r="F79" s="875"/>
      <c r="G79" s="481">
        <f t="shared" si="13"/>
      </c>
      <c r="H79" s="481">
        <f t="shared" si="3"/>
      </c>
      <c r="I79" s="481">
        <f t="shared" si="4"/>
      </c>
      <c r="J79" s="481">
        <f t="shared" si="5"/>
      </c>
      <c r="K79" s="481">
        <f t="shared" si="6"/>
      </c>
      <c r="L79" s="481">
        <f t="shared" si="7"/>
      </c>
      <c r="M79" s="481">
        <f t="shared" si="8"/>
      </c>
      <c r="N79" s="481">
        <f t="shared" si="9"/>
      </c>
      <c r="O79" s="375"/>
      <c r="P79" s="9"/>
      <c r="Q79" s="542" t="str">
        <f t="shared" si="10"/>
        <v>FInitial_1_</v>
      </c>
      <c r="R79" s="542" t="str">
        <f t="shared" si="11"/>
        <v>FInitial_2_</v>
      </c>
      <c r="S79" s="513"/>
      <c r="T79" s="544">
        <f>IF(COUNTIF(B_InitialSituation!$T$9:$T$156,$C79)=0,"",INDEX(B_InitialSituation!$D$9:$D$156,MATCH($C79,B_InitialSituation!$T$9:$T$156,0)))</f>
      </c>
      <c r="U79" s="513"/>
      <c r="V79" s="544">
        <f t="shared" si="14"/>
        <v>1</v>
      </c>
      <c r="W79" s="513"/>
      <c r="X79" s="520">
        <f>INDEX(CHOOSE($V79,C_MergerSplitTransfer!$H$9:$H$68,C_MergerSplitTransfer!$K$9:$K$68),MATCH(Q79,C_MergerSplitTransfer!$T$9:$T$68,0))</f>
        <v>0</v>
      </c>
      <c r="Y79" s="521">
        <f>IF(Y$69&lt;=CNTR_YearMergerSplit,"",INDEX(B_InitialSituation!G$9:G$156,MATCH($Q79,B_InitialSituation!$Q$9:$Q$156,0))*$X79)</f>
        <v>0</v>
      </c>
      <c r="Z79" s="521">
        <f>IF(Z$69&lt;=CNTR_YearMergerSplit,"",INDEX(B_InitialSituation!H$9:H$156,MATCH($Q79,B_InitialSituation!$Q$9:$Q$156,0))*$X79)</f>
        <v>0</v>
      </c>
      <c r="AA79" s="521">
        <f>IF(AA$69&lt;=CNTR_YearMergerSplit,"",INDEX(B_InitialSituation!I$9:I$156,MATCH($Q79,B_InitialSituation!$Q$9:$Q$156,0))*$X79)</f>
        <v>0</v>
      </c>
      <c r="AB79" s="521">
        <f>IF(AB$69&lt;=CNTR_YearMergerSplit,"",INDEX(B_InitialSituation!J$9:J$156,MATCH($Q79,B_InitialSituation!$Q$9:$Q$156,0))*$X79)</f>
        <v>0</v>
      </c>
      <c r="AC79" s="521">
        <f>IF(AC$69&lt;=CNTR_YearMergerSplit,"",INDEX(B_InitialSituation!K$9:K$156,MATCH($Q79,B_InitialSituation!$Q$9:$Q$156,0))*$X79)</f>
        <v>0</v>
      </c>
      <c r="AD79" s="521">
        <f>IF(AD$69&lt;=CNTR_YearMergerSplit,"",INDEX(B_InitialSituation!L$9:L$156,MATCH($Q79,B_InitialSituation!$Q$9:$Q$156,0))*$X79)</f>
        <v>0</v>
      </c>
      <c r="AE79" s="521">
        <f>IF(AE$69&lt;=CNTR_YearMergerSplit,"",INDEX(B_InitialSituation!M$9:M$156,MATCH($Q79,B_InitialSituation!$Q$9:$Q$156,0))*$X79)</f>
        <v>0</v>
      </c>
      <c r="AF79" s="521">
        <f>IF(AF$69&lt;=CNTR_YearMergerSplit,"",INDEX(B_InitialSituation!N$9:N$156,MATCH($Q79,B_InitialSituation!$Q$9:$Q$156,0))*$X79)</f>
        <v>0</v>
      </c>
      <c r="AG79" s="513"/>
      <c r="AH79" s="520">
        <f>INDEX(CHOOSE($V79,C_MergerSplitTransfer!$H$9:$H$68,C_MergerSplitTransfer!$K$9:$K$68),MATCH(R79,C_MergerSplitTransfer!$T$9:$T$68,0))</f>
        <v>0</v>
      </c>
      <c r="AI79" s="521">
        <f>IF(AI$69&lt;=CNTR_YearMergerSplit,"",INDEX(B_InitialSituation!G$9:G$156,MATCH($R79,B_InitialSituation!$Q$9:$Q$156,0))*$AH79)</f>
        <v>0</v>
      </c>
      <c r="AJ79" s="521">
        <f>IF(AJ$69&lt;=CNTR_YearMergerSplit,"",INDEX(B_InitialSituation!H$9:H$156,MATCH($R79,B_InitialSituation!$Q$9:$Q$156,0))*$AH79)</f>
        <v>0</v>
      </c>
      <c r="AK79" s="521">
        <f>IF(AK$69&lt;=CNTR_YearMergerSplit,"",INDEX(B_InitialSituation!I$9:I$156,MATCH($R79,B_InitialSituation!$Q$9:$Q$156,0))*$AH79)</f>
        <v>0</v>
      </c>
      <c r="AL79" s="521">
        <f>IF(AL$69&lt;=CNTR_YearMergerSplit,"",INDEX(B_InitialSituation!J$9:J$156,MATCH($R79,B_InitialSituation!$Q$9:$Q$156,0))*$AH79)</f>
        <v>0</v>
      </c>
      <c r="AM79" s="521">
        <f>IF(AM$69&lt;=CNTR_YearMergerSplit,"",INDEX(B_InitialSituation!K$9:K$156,MATCH($R79,B_InitialSituation!$Q$9:$Q$156,0))*$AH79)</f>
        <v>0</v>
      </c>
      <c r="AN79" s="521">
        <f>IF(AN$69&lt;=CNTR_YearMergerSplit,"",INDEX(B_InitialSituation!L$9:L$156,MATCH($R79,B_InitialSituation!$Q$9:$Q$156,0))*$AH79)</f>
        <v>0</v>
      </c>
      <c r="AO79" s="521">
        <f>IF(AO$69&lt;=CNTR_YearMergerSplit,"",INDEX(B_InitialSituation!M$9:M$156,MATCH($R79,B_InitialSituation!$Q$9:$Q$156,0))*$AH79)</f>
        <v>0</v>
      </c>
      <c r="AP79" s="521">
        <f>IF(AP$69&lt;=CNTR_YearMergerSplit,"",INDEX(B_InitialSituation!N$9:N$156,MATCH($R79,B_InitialSituation!$Q$9:$Q$156,0))*$AH79)</f>
        <v>0</v>
      </c>
      <c r="AQ79" s="513"/>
    </row>
    <row r="80" spans="1:43" s="614" customFormat="1" ht="12.75" customHeight="1" thickBot="1">
      <c r="A80" s="4"/>
      <c r="B80" s="5"/>
      <c r="C80" s="28">
        <v>10</v>
      </c>
      <c r="D80" s="896">
        <f t="shared" si="12"/>
      </c>
      <c r="E80" s="897"/>
      <c r="F80" s="898"/>
      <c r="G80" s="482">
        <f t="shared" si="13"/>
      </c>
      <c r="H80" s="482">
        <f t="shared" si="3"/>
      </c>
      <c r="I80" s="482">
        <f t="shared" si="4"/>
      </c>
      <c r="J80" s="482">
        <f t="shared" si="5"/>
      </c>
      <c r="K80" s="482">
        <f t="shared" si="6"/>
      </c>
      <c r="L80" s="482">
        <f t="shared" si="7"/>
      </c>
      <c r="M80" s="482">
        <f t="shared" si="8"/>
      </c>
      <c r="N80" s="482">
        <f t="shared" si="9"/>
      </c>
      <c r="O80" s="375"/>
      <c r="P80" s="9"/>
      <c r="Q80" s="542" t="str">
        <f t="shared" si="10"/>
        <v>FInitial_1_</v>
      </c>
      <c r="R80" s="542" t="str">
        <f t="shared" si="11"/>
        <v>FInitial_2_</v>
      </c>
      <c r="S80" s="513"/>
      <c r="T80" s="545">
        <f>IF(COUNTIF(B_InitialSituation!$T$9:$T$156,$C80)=0,"",INDEX(B_InitialSituation!$D$9:$D$156,MATCH($C80,B_InitialSituation!$T$9:$T$156,0)))</f>
      </c>
      <c r="U80" s="513"/>
      <c r="V80" s="544">
        <f t="shared" si="14"/>
        <v>1</v>
      </c>
      <c r="W80" s="513"/>
      <c r="X80" s="522">
        <f>INDEX(CHOOSE($V80,C_MergerSplitTransfer!$H$9:$H$68,C_MergerSplitTransfer!$K$9:$K$68),MATCH(Q80,C_MergerSplitTransfer!$T$9:$T$68,0))</f>
        <v>0</v>
      </c>
      <c r="Y80" s="523">
        <f>IF(Y$69&lt;=CNTR_YearMergerSplit,"",INDEX(B_InitialSituation!G$9:G$156,MATCH($Q80,B_InitialSituation!$Q$9:$Q$156,0))*$X80)</f>
        <v>0</v>
      </c>
      <c r="Z80" s="523">
        <f>IF(Z$69&lt;=CNTR_YearMergerSplit,"",INDEX(B_InitialSituation!H$9:H$156,MATCH($Q80,B_InitialSituation!$Q$9:$Q$156,0))*$X80)</f>
        <v>0</v>
      </c>
      <c r="AA80" s="523">
        <f>IF(AA$69&lt;=CNTR_YearMergerSplit,"",INDEX(B_InitialSituation!I$9:I$156,MATCH($Q80,B_InitialSituation!$Q$9:$Q$156,0))*$X80)</f>
        <v>0</v>
      </c>
      <c r="AB80" s="523">
        <f>IF(AB$69&lt;=CNTR_YearMergerSplit,"",INDEX(B_InitialSituation!J$9:J$156,MATCH($Q80,B_InitialSituation!$Q$9:$Q$156,0))*$X80)</f>
        <v>0</v>
      </c>
      <c r="AC80" s="523">
        <f>IF(AC$69&lt;=CNTR_YearMergerSplit,"",INDEX(B_InitialSituation!K$9:K$156,MATCH($Q80,B_InitialSituation!$Q$9:$Q$156,0))*$X80)</f>
        <v>0</v>
      </c>
      <c r="AD80" s="523">
        <f>IF(AD$69&lt;=CNTR_YearMergerSplit,"",INDEX(B_InitialSituation!L$9:L$156,MATCH($Q80,B_InitialSituation!$Q$9:$Q$156,0))*$X80)</f>
        <v>0</v>
      </c>
      <c r="AE80" s="523">
        <f>IF(AE$69&lt;=CNTR_YearMergerSplit,"",INDEX(B_InitialSituation!M$9:M$156,MATCH($Q80,B_InitialSituation!$Q$9:$Q$156,0))*$X80)</f>
        <v>0</v>
      </c>
      <c r="AF80" s="523">
        <f>IF(AF$69&lt;=CNTR_YearMergerSplit,"",INDEX(B_InitialSituation!N$9:N$156,MATCH($Q80,B_InitialSituation!$Q$9:$Q$156,0))*$X80)</f>
        <v>0</v>
      </c>
      <c r="AG80" s="513"/>
      <c r="AH80" s="522">
        <f>INDEX(CHOOSE($V80,C_MergerSplitTransfer!$H$9:$H$68,C_MergerSplitTransfer!$K$9:$K$68),MATCH(R80,C_MergerSplitTransfer!$T$9:$T$68,0))</f>
        <v>0</v>
      </c>
      <c r="AI80" s="523">
        <f>IF(AI$69&lt;=CNTR_YearMergerSplit,"",INDEX(B_InitialSituation!G$9:G$156,MATCH($R80,B_InitialSituation!$Q$9:$Q$156,0))*$AH80)</f>
        <v>0</v>
      </c>
      <c r="AJ80" s="523">
        <f>IF(AJ$69&lt;=CNTR_YearMergerSplit,"",INDEX(B_InitialSituation!H$9:H$156,MATCH($R80,B_InitialSituation!$Q$9:$Q$156,0))*$AH80)</f>
        <v>0</v>
      </c>
      <c r="AK80" s="523">
        <f>IF(AK$69&lt;=CNTR_YearMergerSplit,"",INDEX(B_InitialSituation!I$9:I$156,MATCH($R80,B_InitialSituation!$Q$9:$Q$156,0))*$AH80)</f>
        <v>0</v>
      </c>
      <c r="AL80" s="523">
        <f>IF(AL$69&lt;=CNTR_YearMergerSplit,"",INDEX(B_InitialSituation!J$9:J$156,MATCH($R80,B_InitialSituation!$Q$9:$Q$156,0))*$AH80)</f>
        <v>0</v>
      </c>
      <c r="AM80" s="523">
        <f>IF(AM$69&lt;=CNTR_YearMergerSplit,"",INDEX(B_InitialSituation!K$9:K$156,MATCH($R80,B_InitialSituation!$Q$9:$Q$156,0))*$AH80)</f>
        <v>0</v>
      </c>
      <c r="AN80" s="523">
        <f>IF(AN$69&lt;=CNTR_YearMergerSplit,"",INDEX(B_InitialSituation!L$9:L$156,MATCH($R80,B_InitialSituation!$Q$9:$Q$156,0))*$AH80)</f>
        <v>0</v>
      </c>
      <c r="AO80" s="523">
        <f>IF(AO$69&lt;=CNTR_YearMergerSplit,"",INDEX(B_InitialSituation!M$9:M$156,MATCH($R80,B_InitialSituation!$Q$9:$Q$156,0))*$AH80)</f>
        <v>0</v>
      </c>
      <c r="AP80" s="523">
        <f>IF(AP$69&lt;=CNTR_YearMergerSplit,"",INDEX(B_InitialSituation!N$9:N$156,MATCH($R80,B_InitialSituation!$Q$9:$Q$156,0))*$AH80)</f>
        <v>0</v>
      </c>
      <c r="AQ80" s="513"/>
    </row>
    <row r="81" spans="1:43" s="614" customFormat="1" ht="12.75" customHeight="1">
      <c r="A81" s="4"/>
      <c r="B81" s="5"/>
      <c r="C81" s="32">
        <v>11</v>
      </c>
      <c r="D81" s="882" t="str">
        <f aca="true" t="shared" si="15" ref="D81:D86">INDEX(EUconst_FallBackListNames,C81-10)</f>
        <v>Heat benchmark sub-installation, CL</v>
      </c>
      <c r="E81" s="883"/>
      <c r="F81" s="884"/>
      <c r="G81" s="480">
        <f t="shared" si="13"/>
      </c>
      <c r="H81" s="480">
        <f t="shared" si="3"/>
      </c>
      <c r="I81" s="480">
        <f t="shared" si="4"/>
      </c>
      <c r="J81" s="480">
        <f t="shared" si="5"/>
      </c>
      <c r="K81" s="480">
        <f t="shared" si="6"/>
      </c>
      <c r="L81" s="480">
        <f t="shared" si="7"/>
      </c>
      <c r="M81" s="480">
        <f t="shared" si="8"/>
      </c>
      <c r="N81" s="480">
        <f t="shared" si="9"/>
      </c>
      <c r="O81" s="375"/>
      <c r="P81" s="9"/>
      <c r="Q81" s="542" t="str">
        <f t="shared" si="10"/>
        <v>FInitial_1_Heat benchmark sub-installation, CL</v>
      </c>
      <c r="R81" s="542" t="str">
        <f t="shared" si="11"/>
        <v>FInitial_2_Heat benchmark sub-installation, CL</v>
      </c>
      <c r="S81" s="513"/>
      <c r="T81" s="513"/>
      <c r="U81" s="513"/>
      <c r="V81" s="544">
        <f t="shared" si="14"/>
        <v>1</v>
      </c>
      <c r="W81" s="513"/>
      <c r="X81" s="518">
        <f>INDEX(CHOOSE($V81,C_MergerSplitTransfer!$H$9:$H$68,C_MergerSplitTransfer!$K$9:$K$68),MATCH(Q81,C_MergerSplitTransfer!$T$9:$T$68,0))</f>
        <v>0</v>
      </c>
      <c r="Y81" s="519">
        <f>IF(Y$69&lt;=CNTR_YearMergerSplit,"",INDEX(B_InitialSituation!G$9:G$156,MATCH($Q81,B_InitialSituation!$Q$9:$Q$156,0))*$X81)</f>
        <v>0</v>
      </c>
      <c r="Z81" s="519">
        <f>IF(Z$69&lt;=CNTR_YearMergerSplit,"",INDEX(B_InitialSituation!H$9:H$156,MATCH($Q81,B_InitialSituation!$Q$9:$Q$156,0))*$X81)</f>
        <v>0</v>
      </c>
      <c r="AA81" s="519">
        <f>IF(AA$69&lt;=CNTR_YearMergerSplit,"",INDEX(B_InitialSituation!I$9:I$156,MATCH($Q81,B_InitialSituation!$Q$9:$Q$156,0))*$X81)</f>
        <v>0</v>
      </c>
      <c r="AB81" s="519">
        <f>IF(AB$69&lt;=CNTR_YearMergerSplit,"",INDEX(B_InitialSituation!J$9:J$156,MATCH($Q81,B_InitialSituation!$Q$9:$Q$156,0))*$X81)</f>
        <v>0</v>
      </c>
      <c r="AC81" s="519">
        <f>IF(AC$69&lt;=CNTR_YearMergerSplit,"",INDEX(B_InitialSituation!K$9:K$156,MATCH($Q81,B_InitialSituation!$Q$9:$Q$156,0))*$X81)</f>
        <v>0</v>
      </c>
      <c r="AD81" s="519">
        <f>IF(AD$69&lt;=CNTR_YearMergerSplit,"",INDEX(B_InitialSituation!L$9:L$156,MATCH($Q81,B_InitialSituation!$Q$9:$Q$156,0))*$X81)</f>
        <v>0</v>
      </c>
      <c r="AE81" s="519">
        <f>IF(AE$69&lt;=CNTR_YearMergerSplit,"",INDEX(B_InitialSituation!M$9:M$156,MATCH($Q81,B_InitialSituation!$Q$9:$Q$156,0))*$X81)</f>
        <v>0</v>
      </c>
      <c r="AF81" s="519">
        <f>IF(AF$69&lt;=CNTR_YearMergerSplit,"",INDEX(B_InitialSituation!N$9:N$156,MATCH($Q81,B_InitialSituation!$Q$9:$Q$156,0))*$X81)</f>
        <v>0</v>
      </c>
      <c r="AG81" s="513"/>
      <c r="AH81" s="518">
        <f>INDEX(CHOOSE($V81,C_MergerSplitTransfer!$H$9:$H$68,C_MergerSplitTransfer!$K$9:$K$68),MATCH(R81,C_MergerSplitTransfer!$T$9:$T$68,0))</f>
        <v>0</v>
      </c>
      <c r="AI81" s="519">
        <f>IF(AI$69&lt;=CNTR_YearMergerSplit,"",INDEX(B_InitialSituation!G$9:G$156,MATCH($R81,B_InitialSituation!$Q$9:$Q$156,0))*$AH81)</f>
        <v>0</v>
      </c>
      <c r="AJ81" s="519">
        <f>IF(AJ$69&lt;=CNTR_YearMergerSplit,"",INDEX(B_InitialSituation!H$9:H$156,MATCH($R81,B_InitialSituation!$Q$9:$Q$156,0))*$AH81)</f>
        <v>0</v>
      </c>
      <c r="AK81" s="519">
        <f>IF(AK$69&lt;=CNTR_YearMergerSplit,"",INDEX(B_InitialSituation!I$9:I$156,MATCH($R81,B_InitialSituation!$Q$9:$Q$156,0))*$AH81)</f>
        <v>0</v>
      </c>
      <c r="AL81" s="519">
        <f>IF(AL$69&lt;=CNTR_YearMergerSplit,"",INDEX(B_InitialSituation!J$9:J$156,MATCH($R81,B_InitialSituation!$Q$9:$Q$156,0))*$AH81)</f>
        <v>0</v>
      </c>
      <c r="AM81" s="519">
        <f>IF(AM$69&lt;=CNTR_YearMergerSplit,"",INDEX(B_InitialSituation!K$9:K$156,MATCH($R81,B_InitialSituation!$Q$9:$Q$156,0))*$AH81)</f>
        <v>0</v>
      </c>
      <c r="AN81" s="519">
        <f>IF(AN$69&lt;=CNTR_YearMergerSplit,"",INDEX(B_InitialSituation!L$9:L$156,MATCH($R81,B_InitialSituation!$Q$9:$Q$156,0))*$AH81)</f>
        <v>0</v>
      </c>
      <c r="AO81" s="519">
        <f>IF(AO$69&lt;=CNTR_YearMergerSplit,"",INDEX(B_InitialSituation!M$9:M$156,MATCH($R81,B_InitialSituation!$Q$9:$Q$156,0))*$AH81)</f>
        <v>0</v>
      </c>
      <c r="AP81" s="519">
        <f>IF(AP$69&lt;=CNTR_YearMergerSplit,"",INDEX(B_InitialSituation!N$9:N$156,MATCH($R81,B_InitialSituation!$Q$9:$Q$156,0))*$AH81)</f>
        <v>0</v>
      </c>
      <c r="AQ81" s="513"/>
    </row>
    <row r="82" spans="1:43" s="614" customFormat="1" ht="12.75" customHeight="1">
      <c r="A82" s="4"/>
      <c r="B82" s="5"/>
      <c r="C82" s="32">
        <v>12</v>
      </c>
      <c r="D82" s="876" t="str">
        <f t="shared" si="15"/>
        <v>Heat benchmark sub-installation, non-CL</v>
      </c>
      <c r="E82" s="877"/>
      <c r="F82" s="878"/>
      <c r="G82" s="481">
        <f t="shared" si="13"/>
      </c>
      <c r="H82" s="481">
        <f t="shared" si="3"/>
      </c>
      <c r="I82" s="481">
        <f t="shared" si="4"/>
      </c>
      <c r="J82" s="481">
        <f t="shared" si="5"/>
      </c>
      <c r="K82" s="481">
        <f t="shared" si="6"/>
      </c>
      <c r="L82" s="481">
        <f t="shared" si="7"/>
      </c>
      <c r="M82" s="481">
        <f t="shared" si="8"/>
      </c>
      <c r="N82" s="481">
        <f t="shared" si="9"/>
      </c>
      <c r="O82" s="375"/>
      <c r="P82" s="9"/>
      <c r="Q82" s="542" t="str">
        <f t="shared" si="10"/>
        <v>FInitial_1_Heat benchmark sub-installation, non-CL</v>
      </c>
      <c r="R82" s="542" t="str">
        <f t="shared" si="11"/>
        <v>FInitial_2_Heat benchmark sub-installation, non-CL</v>
      </c>
      <c r="S82" s="513"/>
      <c r="T82" s="513"/>
      <c r="U82" s="513"/>
      <c r="V82" s="544">
        <f t="shared" si="14"/>
        <v>1</v>
      </c>
      <c r="W82" s="513"/>
      <c r="X82" s="520">
        <f>INDEX(CHOOSE($V82,C_MergerSplitTransfer!$H$9:$H$68,C_MergerSplitTransfer!$K$9:$K$68),MATCH(Q82,C_MergerSplitTransfer!$T$9:$T$68,0))</f>
        <v>0</v>
      </c>
      <c r="Y82" s="521">
        <f>IF(Y$69&lt;=CNTR_YearMergerSplit,"",INDEX(B_InitialSituation!G$9:G$156,MATCH($Q82,B_InitialSituation!$Q$9:$Q$156,0))*$X82)</f>
        <v>0</v>
      </c>
      <c r="Z82" s="521">
        <f>IF(Z$69&lt;=CNTR_YearMergerSplit,"",INDEX(B_InitialSituation!H$9:H$156,MATCH($Q82,B_InitialSituation!$Q$9:$Q$156,0))*$X82)</f>
        <v>0</v>
      </c>
      <c r="AA82" s="521">
        <f>IF(AA$69&lt;=CNTR_YearMergerSplit,"",INDEX(B_InitialSituation!I$9:I$156,MATCH($Q82,B_InitialSituation!$Q$9:$Q$156,0))*$X82)</f>
        <v>0</v>
      </c>
      <c r="AB82" s="521">
        <f>IF(AB$69&lt;=CNTR_YearMergerSplit,"",INDEX(B_InitialSituation!J$9:J$156,MATCH($Q82,B_InitialSituation!$Q$9:$Q$156,0))*$X82)</f>
        <v>0</v>
      </c>
      <c r="AC82" s="521">
        <f>IF(AC$69&lt;=CNTR_YearMergerSplit,"",INDEX(B_InitialSituation!K$9:K$156,MATCH($Q82,B_InitialSituation!$Q$9:$Q$156,0))*$X82)</f>
        <v>0</v>
      </c>
      <c r="AD82" s="521">
        <f>IF(AD$69&lt;=CNTR_YearMergerSplit,"",INDEX(B_InitialSituation!L$9:L$156,MATCH($Q82,B_InitialSituation!$Q$9:$Q$156,0))*$X82)</f>
        <v>0</v>
      </c>
      <c r="AE82" s="521">
        <f>IF(AE$69&lt;=CNTR_YearMergerSplit,"",INDEX(B_InitialSituation!M$9:M$156,MATCH($Q82,B_InitialSituation!$Q$9:$Q$156,0))*$X82)</f>
        <v>0</v>
      </c>
      <c r="AF82" s="521">
        <f>IF(AF$69&lt;=CNTR_YearMergerSplit,"",INDEX(B_InitialSituation!N$9:N$156,MATCH($Q82,B_InitialSituation!$Q$9:$Q$156,0))*$X82)</f>
        <v>0</v>
      </c>
      <c r="AG82" s="513"/>
      <c r="AH82" s="520">
        <f>INDEX(CHOOSE($V82,C_MergerSplitTransfer!$H$9:$H$68,C_MergerSplitTransfer!$K$9:$K$68),MATCH(R82,C_MergerSplitTransfer!$T$9:$T$68,0))</f>
        <v>0</v>
      </c>
      <c r="AI82" s="521">
        <f>IF(AI$69&lt;=CNTR_YearMergerSplit,"",INDEX(B_InitialSituation!G$9:G$156,MATCH($R82,B_InitialSituation!$Q$9:$Q$156,0))*$AH82)</f>
        <v>0</v>
      </c>
      <c r="AJ82" s="521">
        <f>IF(AJ$69&lt;=CNTR_YearMergerSplit,"",INDEX(B_InitialSituation!H$9:H$156,MATCH($R82,B_InitialSituation!$Q$9:$Q$156,0))*$AH82)</f>
        <v>0</v>
      </c>
      <c r="AK82" s="521">
        <f>IF(AK$69&lt;=CNTR_YearMergerSplit,"",INDEX(B_InitialSituation!I$9:I$156,MATCH($R82,B_InitialSituation!$Q$9:$Q$156,0))*$AH82)</f>
        <v>0</v>
      </c>
      <c r="AL82" s="521">
        <f>IF(AL$69&lt;=CNTR_YearMergerSplit,"",INDEX(B_InitialSituation!J$9:J$156,MATCH($R82,B_InitialSituation!$Q$9:$Q$156,0))*$AH82)</f>
        <v>0</v>
      </c>
      <c r="AM82" s="521">
        <f>IF(AM$69&lt;=CNTR_YearMergerSplit,"",INDEX(B_InitialSituation!K$9:K$156,MATCH($R82,B_InitialSituation!$Q$9:$Q$156,0))*$AH82)</f>
        <v>0</v>
      </c>
      <c r="AN82" s="521">
        <f>IF(AN$69&lt;=CNTR_YearMergerSplit,"",INDEX(B_InitialSituation!L$9:L$156,MATCH($R82,B_InitialSituation!$Q$9:$Q$156,0))*$AH82)</f>
        <v>0</v>
      </c>
      <c r="AO82" s="521">
        <f>IF(AO$69&lt;=CNTR_YearMergerSplit,"",INDEX(B_InitialSituation!M$9:M$156,MATCH($R82,B_InitialSituation!$Q$9:$Q$156,0))*$AH82)</f>
        <v>0</v>
      </c>
      <c r="AP82" s="521">
        <f>IF(AP$69&lt;=CNTR_YearMergerSplit,"",INDEX(B_InitialSituation!N$9:N$156,MATCH($R82,B_InitialSituation!$Q$9:$Q$156,0))*$AH82)</f>
        <v>0</v>
      </c>
      <c r="AQ82" s="513"/>
    </row>
    <row r="83" spans="1:43" s="614" customFormat="1" ht="12.75" customHeight="1">
      <c r="A83" s="4"/>
      <c r="B83" s="5"/>
      <c r="C83" s="32">
        <v>13</v>
      </c>
      <c r="D83" s="876" t="str">
        <f t="shared" si="15"/>
        <v>Fuel benchmark sub-installation, CL</v>
      </c>
      <c r="E83" s="877"/>
      <c r="F83" s="878"/>
      <c r="G83" s="481">
        <f t="shared" si="13"/>
      </c>
      <c r="H83" s="481">
        <f t="shared" si="3"/>
      </c>
      <c r="I83" s="481">
        <f t="shared" si="4"/>
      </c>
      <c r="J83" s="481">
        <f t="shared" si="5"/>
      </c>
      <c r="K83" s="481">
        <f t="shared" si="6"/>
      </c>
      <c r="L83" s="481">
        <f t="shared" si="7"/>
      </c>
      <c r="M83" s="481">
        <f t="shared" si="8"/>
      </c>
      <c r="N83" s="481">
        <f t="shared" si="9"/>
      </c>
      <c r="O83" s="375"/>
      <c r="P83" s="9"/>
      <c r="Q83" s="542" t="str">
        <f t="shared" si="10"/>
        <v>FInitial_1_Fuel benchmark sub-installation, CL</v>
      </c>
      <c r="R83" s="542" t="str">
        <f t="shared" si="11"/>
        <v>FInitial_2_Fuel benchmark sub-installation, CL</v>
      </c>
      <c r="S83" s="513"/>
      <c r="T83" s="513"/>
      <c r="U83" s="513"/>
      <c r="V83" s="544">
        <f t="shared" si="14"/>
        <v>1</v>
      </c>
      <c r="W83" s="513"/>
      <c r="X83" s="520">
        <f>INDEX(CHOOSE($V83,C_MergerSplitTransfer!$H$9:$H$68,C_MergerSplitTransfer!$K$9:$K$68),MATCH(Q83,C_MergerSplitTransfer!$T$9:$T$68,0))</f>
        <v>0</v>
      </c>
      <c r="Y83" s="521">
        <f>IF(Y$69&lt;=CNTR_YearMergerSplit,"",INDEX(B_InitialSituation!G$9:G$156,MATCH($Q83,B_InitialSituation!$Q$9:$Q$156,0))*$X83)</f>
        <v>0</v>
      </c>
      <c r="Z83" s="521">
        <f>IF(Z$69&lt;=CNTR_YearMergerSplit,"",INDEX(B_InitialSituation!H$9:H$156,MATCH($Q83,B_InitialSituation!$Q$9:$Q$156,0))*$X83)</f>
        <v>0</v>
      </c>
      <c r="AA83" s="521">
        <f>IF(AA$69&lt;=CNTR_YearMergerSplit,"",INDEX(B_InitialSituation!I$9:I$156,MATCH($Q83,B_InitialSituation!$Q$9:$Q$156,0))*$X83)</f>
        <v>0</v>
      </c>
      <c r="AB83" s="521">
        <f>IF(AB$69&lt;=CNTR_YearMergerSplit,"",INDEX(B_InitialSituation!J$9:J$156,MATCH($Q83,B_InitialSituation!$Q$9:$Q$156,0))*$X83)</f>
        <v>0</v>
      </c>
      <c r="AC83" s="521">
        <f>IF(AC$69&lt;=CNTR_YearMergerSplit,"",INDEX(B_InitialSituation!K$9:K$156,MATCH($Q83,B_InitialSituation!$Q$9:$Q$156,0))*$X83)</f>
        <v>0</v>
      </c>
      <c r="AD83" s="521">
        <f>IF(AD$69&lt;=CNTR_YearMergerSplit,"",INDEX(B_InitialSituation!L$9:L$156,MATCH($Q83,B_InitialSituation!$Q$9:$Q$156,0))*$X83)</f>
        <v>0</v>
      </c>
      <c r="AE83" s="521">
        <f>IF(AE$69&lt;=CNTR_YearMergerSplit,"",INDEX(B_InitialSituation!M$9:M$156,MATCH($Q83,B_InitialSituation!$Q$9:$Q$156,0))*$X83)</f>
        <v>0</v>
      </c>
      <c r="AF83" s="521">
        <f>IF(AF$69&lt;=CNTR_YearMergerSplit,"",INDEX(B_InitialSituation!N$9:N$156,MATCH($Q83,B_InitialSituation!$Q$9:$Q$156,0))*$X83)</f>
        <v>0</v>
      </c>
      <c r="AG83" s="513"/>
      <c r="AH83" s="520">
        <f>INDEX(CHOOSE($V83,C_MergerSplitTransfer!$H$9:$H$68,C_MergerSplitTransfer!$K$9:$K$68),MATCH(R83,C_MergerSplitTransfer!$T$9:$T$68,0))</f>
        <v>0</v>
      </c>
      <c r="AI83" s="521">
        <f>IF(AI$69&lt;=CNTR_YearMergerSplit,"",INDEX(B_InitialSituation!G$9:G$156,MATCH($R83,B_InitialSituation!$Q$9:$Q$156,0))*$AH83)</f>
        <v>0</v>
      </c>
      <c r="AJ83" s="521">
        <f>IF(AJ$69&lt;=CNTR_YearMergerSplit,"",INDEX(B_InitialSituation!H$9:H$156,MATCH($R83,B_InitialSituation!$Q$9:$Q$156,0))*$AH83)</f>
        <v>0</v>
      </c>
      <c r="AK83" s="521">
        <f>IF(AK$69&lt;=CNTR_YearMergerSplit,"",INDEX(B_InitialSituation!I$9:I$156,MATCH($R83,B_InitialSituation!$Q$9:$Q$156,0))*$AH83)</f>
        <v>0</v>
      </c>
      <c r="AL83" s="521">
        <f>IF(AL$69&lt;=CNTR_YearMergerSplit,"",INDEX(B_InitialSituation!J$9:J$156,MATCH($R83,B_InitialSituation!$Q$9:$Q$156,0))*$AH83)</f>
        <v>0</v>
      </c>
      <c r="AM83" s="521">
        <f>IF(AM$69&lt;=CNTR_YearMergerSplit,"",INDEX(B_InitialSituation!K$9:K$156,MATCH($R83,B_InitialSituation!$Q$9:$Q$156,0))*$AH83)</f>
        <v>0</v>
      </c>
      <c r="AN83" s="521">
        <f>IF(AN$69&lt;=CNTR_YearMergerSplit,"",INDEX(B_InitialSituation!L$9:L$156,MATCH($R83,B_InitialSituation!$Q$9:$Q$156,0))*$AH83)</f>
        <v>0</v>
      </c>
      <c r="AO83" s="521">
        <f>IF(AO$69&lt;=CNTR_YearMergerSplit,"",INDEX(B_InitialSituation!M$9:M$156,MATCH($R83,B_InitialSituation!$Q$9:$Q$156,0))*$AH83)</f>
        <v>0</v>
      </c>
      <c r="AP83" s="521">
        <f>IF(AP$69&lt;=CNTR_YearMergerSplit,"",INDEX(B_InitialSituation!N$9:N$156,MATCH($R83,B_InitialSituation!$Q$9:$Q$156,0))*$AH83)</f>
        <v>0</v>
      </c>
      <c r="AQ83" s="513"/>
    </row>
    <row r="84" spans="1:43" s="614" customFormat="1" ht="12.75" customHeight="1">
      <c r="A84" s="4"/>
      <c r="B84" s="5"/>
      <c r="C84" s="32">
        <v>14</v>
      </c>
      <c r="D84" s="876" t="str">
        <f t="shared" si="15"/>
        <v>Fuel benchmark sub-installation, non-CL</v>
      </c>
      <c r="E84" s="877"/>
      <c r="F84" s="878"/>
      <c r="G84" s="481">
        <f t="shared" si="13"/>
      </c>
      <c r="H84" s="481">
        <f t="shared" si="3"/>
      </c>
      <c r="I84" s="481">
        <f t="shared" si="4"/>
      </c>
      <c r="J84" s="481">
        <f t="shared" si="5"/>
      </c>
      <c r="K84" s="481">
        <f t="shared" si="6"/>
      </c>
      <c r="L84" s="481">
        <f t="shared" si="7"/>
      </c>
      <c r="M84" s="481">
        <f t="shared" si="8"/>
      </c>
      <c r="N84" s="481">
        <f t="shared" si="9"/>
      </c>
      <c r="O84" s="375"/>
      <c r="P84" s="9"/>
      <c r="Q84" s="542" t="str">
        <f t="shared" si="10"/>
        <v>FInitial_1_Fuel benchmark sub-installation, non-CL</v>
      </c>
      <c r="R84" s="542" t="str">
        <f t="shared" si="11"/>
        <v>FInitial_2_Fuel benchmark sub-installation, non-CL</v>
      </c>
      <c r="S84" s="513"/>
      <c r="T84" s="513"/>
      <c r="U84" s="513"/>
      <c r="V84" s="544">
        <f t="shared" si="14"/>
        <v>1</v>
      </c>
      <c r="W84" s="513"/>
      <c r="X84" s="520">
        <f>INDEX(CHOOSE($V84,C_MergerSplitTransfer!$H$9:$H$68,C_MergerSplitTransfer!$K$9:$K$68),MATCH(Q84,C_MergerSplitTransfer!$T$9:$T$68,0))</f>
        <v>0</v>
      </c>
      <c r="Y84" s="521">
        <f>IF(Y$69&lt;=CNTR_YearMergerSplit,"",INDEX(B_InitialSituation!G$9:G$156,MATCH($Q84,B_InitialSituation!$Q$9:$Q$156,0))*$X84)</f>
        <v>0</v>
      </c>
      <c r="Z84" s="521">
        <f>IF(Z$69&lt;=CNTR_YearMergerSplit,"",INDEX(B_InitialSituation!H$9:H$156,MATCH($Q84,B_InitialSituation!$Q$9:$Q$156,0))*$X84)</f>
        <v>0</v>
      </c>
      <c r="AA84" s="521">
        <f>IF(AA$69&lt;=CNTR_YearMergerSplit,"",INDEX(B_InitialSituation!I$9:I$156,MATCH($Q84,B_InitialSituation!$Q$9:$Q$156,0))*$X84)</f>
        <v>0</v>
      </c>
      <c r="AB84" s="521">
        <f>IF(AB$69&lt;=CNTR_YearMergerSplit,"",INDEX(B_InitialSituation!J$9:J$156,MATCH($Q84,B_InitialSituation!$Q$9:$Q$156,0))*$X84)</f>
        <v>0</v>
      </c>
      <c r="AC84" s="521">
        <f>IF(AC$69&lt;=CNTR_YearMergerSplit,"",INDEX(B_InitialSituation!K$9:K$156,MATCH($Q84,B_InitialSituation!$Q$9:$Q$156,0))*$X84)</f>
        <v>0</v>
      </c>
      <c r="AD84" s="521">
        <f>IF(AD$69&lt;=CNTR_YearMergerSplit,"",INDEX(B_InitialSituation!L$9:L$156,MATCH($Q84,B_InitialSituation!$Q$9:$Q$156,0))*$X84)</f>
        <v>0</v>
      </c>
      <c r="AE84" s="521">
        <f>IF(AE$69&lt;=CNTR_YearMergerSplit,"",INDEX(B_InitialSituation!M$9:M$156,MATCH($Q84,B_InitialSituation!$Q$9:$Q$156,0))*$X84)</f>
        <v>0</v>
      </c>
      <c r="AF84" s="521">
        <f>IF(AF$69&lt;=CNTR_YearMergerSplit,"",INDEX(B_InitialSituation!N$9:N$156,MATCH($Q84,B_InitialSituation!$Q$9:$Q$156,0))*$X84)</f>
        <v>0</v>
      </c>
      <c r="AG84" s="513"/>
      <c r="AH84" s="520">
        <f>INDEX(CHOOSE($V84,C_MergerSplitTransfer!$H$9:$H$68,C_MergerSplitTransfer!$K$9:$K$68),MATCH(R84,C_MergerSplitTransfer!$T$9:$T$68,0))</f>
        <v>0</v>
      </c>
      <c r="AI84" s="521">
        <f>IF(AI$69&lt;=CNTR_YearMergerSplit,"",INDEX(B_InitialSituation!G$9:G$156,MATCH($R84,B_InitialSituation!$Q$9:$Q$156,0))*$AH84)</f>
        <v>0</v>
      </c>
      <c r="AJ84" s="521">
        <f>IF(AJ$69&lt;=CNTR_YearMergerSplit,"",INDEX(B_InitialSituation!H$9:H$156,MATCH($R84,B_InitialSituation!$Q$9:$Q$156,0))*$AH84)</f>
        <v>0</v>
      </c>
      <c r="AK84" s="521">
        <f>IF(AK$69&lt;=CNTR_YearMergerSplit,"",INDEX(B_InitialSituation!I$9:I$156,MATCH($R84,B_InitialSituation!$Q$9:$Q$156,0))*$AH84)</f>
        <v>0</v>
      </c>
      <c r="AL84" s="521">
        <f>IF(AL$69&lt;=CNTR_YearMergerSplit,"",INDEX(B_InitialSituation!J$9:J$156,MATCH($R84,B_InitialSituation!$Q$9:$Q$156,0))*$AH84)</f>
        <v>0</v>
      </c>
      <c r="AM84" s="521">
        <f>IF(AM$69&lt;=CNTR_YearMergerSplit,"",INDEX(B_InitialSituation!K$9:K$156,MATCH($R84,B_InitialSituation!$Q$9:$Q$156,0))*$AH84)</f>
        <v>0</v>
      </c>
      <c r="AN84" s="521">
        <f>IF(AN$69&lt;=CNTR_YearMergerSplit,"",INDEX(B_InitialSituation!L$9:L$156,MATCH($R84,B_InitialSituation!$Q$9:$Q$156,0))*$AH84)</f>
        <v>0</v>
      </c>
      <c r="AO84" s="521">
        <f>IF(AO$69&lt;=CNTR_YearMergerSplit,"",INDEX(B_InitialSituation!M$9:M$156,MATCH($R84,B_InitialSituation!$Q$9:$Q$156,0))*$AH84)</f>
        <v>0</v>
      </c>
      <c r="AP84" s="521">
        <f>IF(AP$69&lt;=CNTR_YearMergerSplit,"",INDEX(B_InitialSituation!N$9:N$156,MATCH($R84,B_InitialSituation!$Q$9:$Q$156,0))*$AH84)</f>
        <v>0</v>
      </c>
      <c r="AQ84" s="513"/>
    </row>
    <row r="85" spans="1:43" s="614" customFormat="1" ht="12.75" customHeight="1">
      <c r="A85" s="4"/>
      <c r="B85" s="5"/>
      <c r="C85" s="32">
        <v>15</v>
      </c>
      <c r="D85" s="876" t="str">
        <f t="shared" si="15"/>
        <v>Process emissions sub-installation, CL</v>
      </c>
      <c r="E85" s="877"/>
      <c r="F85" s="878"/>
      <c r="G85" s="481">
        <f t="shared" si="13"/>
      </c>
      <c r="H85" s="481">
        <f t="shared" si="3"/>
      </c>
      <c r="I85" s="481">
        <f t="shared" si="4"/>
      </c>
      <c r="J85" s="481">
        <f t="shared" si="5"/>
      </c>
      <c r="K85" s="481">
        <f t="shared" si="6"/>
      </c>
      <c r="L85" s="481">
        <f t="shared" si="7"/>
      </c>
      <c r="M85" s="481">
        <f t="shared" si="8"/>
      </c>
      <c r="N85" s="481">
        <f t="shared" si="9"/>
      </c>
      <c r="O85" s="375"/>
      <c r="P85" s="9"/>
      <c r="Q85" s="542" t="str">
        <f t="shared" si="10"/>
        <v>FInitial_1_Process emissions sub-installation, CL</v>
      </c>
      <c r="R85" s="542" t="str">
        <f t="shared" si="11"/>
        <v>FInitial_2_Process emissions sub-installation, CL</v>
      </c>
      <c r="S85" s="513"/>
      <c r="T85" s="513"/>
      <c r="U85" s="513"/>
      <c r="V85" s="544">
        <f t="shared" si="14"/>
        <v>1</v>
      </c>
      <c r="W85" s="513"/>
      <c r="X85" s="520">
        <f>INDEX(CHOOSE($V85,C_MergerSplitTransfer!$H$9:$H$68,C_MergerSplitTransfer!$K$9:$K$68),MATCH(Q85,C_MergerSplitTransfer!$T$9:$T$68,0))</f>
        <v>0</v>
      </c>
      <c r="Y85" s="521">
        <f>IF(Y$69&lt;=CNTR_YearMergerSplit,"",INDEX(B_InitialSituation!G$9:G$156,MATCH($Q85,B_InitialSituation!$Q$9:$Q$156,0))*$X85)</f>
        <v>0</v>
      </c>
      <c r="Z85" s="521">
        <f>IF(Z$69&lt;=CNTR_YearMergerSplit,"",INDEX(B_InitialSituation!H$9:H$156,MATCH($Q85,B_InitialSituation!$Q$9:$Q$156,0))*$X85)</f>
        <v>0</v>
      </c>
      <c r="AA85" s="521">
        <f>IF(AA$69&lt;=CNTR_YearMergerSplit,"",INDEX(B_InitialSituation!I$9:I$156,MATCH($Q85,B_InitialSituation!$Q$9:$Q$156,0))*$X85)</f>
        <v>0</v>
      </c>
      <c r="AB85" s="521">
        <f>IF(AB$69&lt;=CNTR_YearMergerSplit,"",INDEX(B_InitialSituation!J$9:J$156,MATCH($Q85,B_InitialSituation!$Q$9:$Q$156,0))*$X85)</f>
        <v>0</v>
      </c>
      <c r="AC85" s="521">
        <f>IF(AC$69&lt;=CNTR_YearMergerSplit,"",INDEX(B_InitialSituation!K$9:K$156,MATCH($Q85,B_InitialSituation!$Q$9:$Q$156,0))*$X85)</f>
        <v>0</v>
      </c>
      <c r="AD85" s="521">
        <f>IF(AD$69&lt;=CNTR_YearMergerSplit,"",INDEX(B_InitialSituation!L$9:L$156,MATCH($Q85,B_InitialSituation!$Q$9:$Q$156,0))*$X85)</f>
        <v>0</v>
      </c>
      <c r="AE85" s="521">
        <f>IF(AE$69&lt;=CNTR_YearMergerSplit,"",INDEX(B_InitialSituation!M$9:M$156,MATCH($Q85,B_InitialSituation!$Q$9:$Q$156,0))*$X85)</f>
        <v>0</v>
      </c>
      <c r="AF85" s="521">
        <f>IF(AF$69&lt;=CNTR_YearMergerSplit,"",INDEX(B_InitialSituation!N$9:N$156,MATCH($Q85,B_InitialSituation!$Q$9:$Q$156,0))*$X85)</f>
        <v>0</v>
      </c>
      <c r="AG85" s="513"/>
      <c r="AH85" s="520">
        <f>INDEX(CHOOSE($V85,C_MergerSplitTransfer!$H$9:$H$68,C_MergerSplitTransfer!$K$9:$K$68),MATCH(R85,C_MergerSplitTransfer!$T$9:$T$68,0))</f>
        <v>0</v>
      </c>
      <c r="AI85" s="521">
        <f>IF(AI$69&lt;=CNTR_YearMergerSplit,"",INDEX(B_InitialSituation!G$9:G$156,MATCH($R85,B_InitialSituation!$Q$9:$Q$156,0))*$AH85)</f>
        <v>0</v>
      </c>
      <c r="AJ85" s="521">
        <f>IF(AJ$69&lt;=CNTR_YearMergerSplit,"",INDEX(B_InitialSituation!H$9:H$156,MATCH($R85,B_InitialSituation!$Q$9:$Q$156,0))*$AH85)</f>
        <v>0</v>
      </c>
      <c r="AK85" s="521">
        <f>IF(AK$69&lt;=CNTR_YearMergerSplit,"",INDEX(B_InitialSituation!I$9:I$156,MATCH($R85,B_InitialSituation!$Q$9:$Q$156,0))*$AH85)</f>
        <v>0</v>
      </c>
      <c r="AL85" s="521">
        <f>IF(AL$69&lt;=CNTR_YearMergerSplit,"",INDEX(B_InitialSituation!J$9:J$156,MATCH($R85,B_InitialSituation!$Q$9:$Q$156,0))*$AH85)</f>
        <v>0</v>
      </c>
      <c r="AM85" s="521">
        <f>IF(AM$69&lt;=CNTR_YearMergerSplit,"",INDEX(B_InitialSituation!K$9:K$156,MATCH($R85,B_InitialSituation!$Q$9:$Q$156,0))*$AH85)</f>
        <v>0</v>
      </c>
      <c r="AN85" s="521">
        <f>IF(AN$69&lt;=CNTR_YearMergerSplit,"",INDEX(B_InitialSituation!L$9:L$156,MATCH($R85,B_InitialSituation!$Q$9:$Q$156,0))*$AH85)</f>
        <v>0</v>
      </c>
      <c r="AO85" s="521">
        <f>IF(AO$69&lt;=CNTR_YearMergerSplit,"",INDEX(B_InitialSituation!M$9:M$156,MATCH($R85,B_InitialSituation!$Q$9:$Q$156,0))*$AH85)</f>
        <v>0</v>
      </c>
      <c r="AP85" s="521">
        <f>IF(AP$69&lt;=CNTR_YearMergerSplit,"",INDEX(B_InitialSituation!N$9:N$156,MATCH($R85,B_InitialSituation!$Q$9:$Q$156,0))*$AH85)</f>
        <v>0</v>
      </c>
      <c r="AQ85" s="513"/>
    </row>
    <row r="86" spans="1:43" s="614" customFormat="1" ht="12.75" customHeight="1">
      <c r="A86" s="4"/>
      <c r="B86" s="5"/>
      <c r="C86" s="32">
        <v>16</v>
      </c>
      <c r="D86" s="885" t="str">
        <f t="shared" si="15"/>
        <v>Process emissions sub-installation, non-CL</v>
      </c>
      <c r="E86" s="886"/>
      <c r="F86" s="887"/>
      <c r="G86" s="483">
        <f t="shared" si="13"/>
      </c>
      <c r="H86" s="483">
        <f t="shared" si="3"/>
      </c>
      <c r="I86" s="483">
        <f t="shared" si="4"/>
      </c>
      <c r="J86" s="483">
        <f t="shared" si="5"/>
      </c>
      <c r="K86" s="483">
        <f t="shared" si="6"/>
      </c>
      <c r="L86" s="483">
        <f t="shared" si="7"/>
      </c>
      <c r="M86" s="483">
        <f t="shared" si="8"/>
      </c>
      <c r="N86" s="483">
        <f t="shared" si="9"/>
      </c>
      <c r="O86" s="375"/>
      <c r="P86" s="9"/>
      <c r="Q86" s="542" t="str">
        <f t="shared" si="10"/>
        <v>FInitial_1_Process emissions sub-installation, non-CL</v>
      </c>
      <c r="R86" s="542" t="str">
        <f t="shared" si="11"/>
        <v>FInitial_2_Process emissions sub-installation, non-CL</v>
      </c>
      <c r="S86" s="513"/>
      <c r="T86" s="513"/>
      <c r="U86" s="513"/>
      <c r="V86" s="544">
        <f t="shared" si="14"/>
        <v>1</v>
      </c>
      <c r="W86" s="513"/>
      <c r="X86" s="524">
        <f>INDEX(CHOOSE($V86,C_MergerSplitTransfer!$H$9:$H$68,C_MergerSplitTransfer!$K$9:$K$68),MATCH(Q86,C_MergerSplitTransfer!$T$9:$T$68,0))</f>
        <v>0</v>
      </c>
      <c r="Y86" s="525">
        <f>IF(Y$69&lt;=CNTR_YearMergerSplit,"",INDEX(B_InitialSituation!G$9:G$156,MATCH($Q86,B_InitialSituation!$Q$9:$Q$156,0))*$X86)</f>
        <v>0</v>
      </c>
      <c r="Z86" s="525">
        <f>IF(Z$69&lt;=CNTR_YearMergerSplit,"",INDEX(B_InitialSituation!H$9:H$156,MATCH($Q86,B_InitialSituation!$Q$9:$Q$156,0))*$X86)</f>
        <v>0</v>
      </c>
      <c r="AA86" s="525">
        <f>IF(AA$69&lt;=CNTR_YearMergerSplit,"",INDEX(B_InitialSituation!I$9:I$156,MATCH($Q86,B_InitialSituation!$Q$9:$Q$156,0))*$X86)</f>
        <v>0</v>
      </c>
      <c r="AB86" s="525">
        <f>IF(AB$69&lt;=CNTR_YearMergerSplit,"",INDEX(B_InitialSituation!J$9:J$156,MATCH($Q86,B_InitialSituation!$Q$9:$Q$156,0))*$X86)</f>
        <v>0</v>
      </c>
      <c r="AC86" s="525">
        <f>IF(AC$69&lt;=CNTR_YearMergerSplit,"",INDEX(B_InitialSituation!K$9:K$156,MATCH($Q86,B_InitialSituation!$Q$9:$Q$156,0))*$X86)</f>
        <v>0</v>
      </c>
      <c r="AD86" s="525">
        <f>IF(AD$69&lt;=CNTR_YearMergerSplit,"",INDEX(B_InitialSituation!L$9:L$156,MATCH($Q86,B_InitialSituation!$Q$9:$Q$156,0))*$X86)</f>
        <v>0</v>
      </c>
      <c r="AE86" s="525">
        <f>IF(AE$69&lt;=CNTR_YearMergerSplit,"",INDEX(B_InitialSituation!M$9:M$156,MATCH($Q86,B_InitialSituation!$Q$9:$Q$156,0))*$X86)</f>
        <v>0</v>
      </c>
      <c r="AF86" s="525">
        <f>IF(AF$69&lt;=CNTR_YearMergerSplit,"",INDEX(B_InitialSituation!N$9:N$156,MATCH($Q86,B_InitialSituation!$Q$9:$Q$156,0))*$X86)</f>
        <v>0</v>
      </c>
      <c r="AG86" s="513"/>
      <c r="AH86" s="524">
        <f>INDEX(CHOOSE($V86,C_MergerSplitTransfer!$H$9:$H$68,C_MergerSplitTransfer!$K$9:$K$68),MATCH(R86,C_MergerSplitTransfer!$T$9:$T$68,0))</f>
        <v>0</v>
      </c>
      <c r="AI86" s="525">
        <f>IF(AI$69&lt;=CNTR_YearMergerSplit,"",INDEX(B_InitialSituation!G$9:G$156,MATCH($R86,B_InitialSituation!$Q$9:$Q$156,0))*$AH86)</f>
        <v>0</v>
      </c>
      <c r="AJ86" s="525">
        <f>IF(AJ$69&lt;=CNTR_YearMergerSplit,"",INDEX(B_InitialSituation!H$9:H$156,MATCH($R86,B_InitialSituation!$Q$9:$Q$156,0))*$AH86)</f>
        <v>0</v>
      </c>
      <c r="AK86" s="525">
        <f>IF(AK$69&lt;=CNTR_YearMergerSplit,"",INDEX(B_InitialSituation!I$9:I$156,MATCH($R86,B_InitialSituation!$Q$9:$Q$156,0))*$AH86)</f>
        <v>0</v>
      </c>
      <c r="AL86" s="525">
        <f>IF(AL$69&lt;=CNTR_YearMergerSplit,"",INDEX(B_InitialSituation!J$9:J$156,MATCH($R86,B_InitialSituation!$Q$9:$Q$156,0))*$AH86)</f>
        <v>0</v>
      </c>
      <c r="AM86" s="525">
        <f>IF(AM$69&lt;=CNTR_YearMergerSplit,"",INDEX(B_InitialSituation!K$9:K$156,MATCH($R86,B_InitialSituation!$Q$9:$Q$156,0))*$AH86)</f>
        <v>0</v>
      </c>
      <c r="AN86" s="525">
        <f>IF(AN$69&lt;=CNTR_YearMergerSplit,"",INDEX(B_InitialSituation!L$9:L$156,MATCH($R86,B_InitialSituation!$Q$9:$Q$156,0))*$AH86)</f>
        <v>0</v>
      </c>
      <c r="AO86" s="525">
        <f>IF(AO$69&lt;=CNTR_YearMergerSplit,"",INDEX(B_InitialSituation!M$9:M$156,MATCH($R86,B_InitialSituation!$Q$9:$Q$156,0))*$AH86)</f>
        <v>0</v>
      </c>
      <c r="AP86" s="525">
        <f>IF(AP$69&lt;=CNTR_YearMergerSplit,"",INDEX(B_InitialSituation!N$9:N$156,MATCH($R86,B_InitialSituation!$Q$9:$Q$156,0))*$AH86)</f>
        <v>0</v>
      </c>
      <c r="AQ86" s="513"/>
    </row>
    <row r="87" spans="1:43" s="614" customFormat="1" ht="12.75" customHeight="1" thickBot="1">
      <c r="A87" s="4"/>
      <c r="B87" s="5"/>
      <c r="C87" s="503">
        <v>17</v>
      </c>
      <c r="D87" s="879" t="str">
        <f>EUconst_PrivateHouseholds</f>
        <v>Private households</v>
      </c>
      <c r="E87" s="880"/>
      <c r="F87" s="881"/>
      <c r="G87" s="504">
        <f t="shared" si="13"/>
      </c>
      <c r="H87" s="504">
        <f t="shared" si="3"/>
      </c>
      <c r="I87" s="504">
        <f t="shared" si="4"/>
      </c>
      <c r="J87" s="504">
        <f t="shared" si="5"/>
      </c>
      <c r="K87" s="504">
        <f t="shared" si="6"/>
      </c>
      <c r="L87" s="504">
        <f t="shared" si="7"/>
      </c>
      <c r="M87" s="504">
        <f t="shared" si="8"/>
      </c>
      <c r="N87" s="504">
        <f t="shared" si="9"/>
      </c>
      <c r="O87" s="375"/>
      <c r="P87" s="9"/>
      <c r="Q87" s="542" t="str">
        <f t="shared" si="10"/>
        <v>FInitial_1_Private households</v>
      </c>
      <c r="R87" s="542" t="str">
        <f t="shared" si="11"/>
        <v>FInitial_2_Private households</v>
      </c>
      <c r="S87" s="513"/>
      <c r="T87" s="513"/>
      <c r="U87" s="513"/>
      <c r="V87" s="545">
        <f t="shared" si="14"/>
        <v>1</v>
      </c>
      <c r="W87" s="513"/>
      <c r="X87" s="526">
        <f>INDEX(CHOOSE($V87,C_MergerSplitTransfer!$H$9:$H$68,C_MergerSplitTransfer!$K$9:$K$68),MATCH(Q87,C_MergerSplitTransfer!$T$9:$T$68,0))</f>
        <v>0</v>
      </c>
      <c r="Y87" s="527">
        <f>IF(Y$69&lt;=CNTR_YearMergerSplit,"",INDEX(B_InitialSituation!G$9:G$156,MATCH($Q87,B_InitialSituation!$Q$9:$Q$156,0))*$X87)</f>
        <v>0</v>
      </c>
      <c r="Z87" s="527">
        <f>IF(Z$69&lt;=CNTR_YearMergerSplit,"",INDEX(B_InitialSituation!H$9:H$156,MATCH($Q87,B_InitialSituation!$Q$9:$Q$156,0))*$X87)</f>
        <v>0</v>
      </c>
      <c r="AA87" s="527">
        <f>IF(AA$69&lt;=CNTR_YearMergerSplit,"",INDEX(B_InitialSituation!I$9:I$156,MATCH($Q87,B_InitialSituation!$Q$9:$Q$156,0))*$X87)</f>
        <v>0</v>
      </c>
      <c r="AB87" s="527">
        <f>IF(AB$69&lt;=CNTR_YearMergerSplit,"",INDEX(B_InitialSituation!J$9:J$156,MATCH($Q87,B_InitialSituation!$Q$9:$Q$156,0))*$X87)</f>
        <v>0</v>
      </c>
      <c r="AC87" s="527">
        <f>IF(AC$69&lt;=CNTR_YearMergerSplit,"",INDEX(B_InitialSituation!K$9:K$156,MATCH($Q87,B_InitialSituation!$Q$9:$Q$156,0))*$X87)</f>
        <v>0</v>
      </c>
      <c r="AD87" s="527">
        <f>IF(AD$69&lt;=CNTR_YearMergerSplit,"",INDEX(B_InitialSituation!L$9:L$156,MATCH($Q87,B_InitialSituation!$Q$9:$Q$156,0))*$X87)</f>
        <v>0</v>
      </c>
      <c r="AE87" s="527">
        <f>IF(AE$69&lt;=CNTR_YearMergerSplit,"",INDEX(B_InitialSituation!M$9:M$156,MATCH($Q87,B_InitialSituation!$Q$9:$Q$156,0))*$X87)</f>
        <v>0</v>
      </c>
      <c r="AF87" s="527">
        <f>IF(AF$69&lt;=CNTR_YearMergerSplit,"",INDEX(B_InitialSituation!N$9:N$156,MATCH($Q87,B_InitialSituation!$Q$9:$Q$156,0))*$X87)</f>
        <v>0</v>
      </c>
      <c r="AG87" s="513"/>
      <c r="AH87" s="526">
        <f>INDEX(CHOOSE($V87,C_MergerSplitTransfer!$H$9:$H$68,C_MergerSplitTransfer!$K$9:$K$68),MATCH(R87,C_MergerSplitTransfer!$T$9:$T$68,0))</f>
        <v>0</v>
      </c>
      <c r="AI87" s="527">
        <f>IF(AI$69&lt;=CNTR_YearMergerSplit,"",INDEX(B_InitialSituation!G$9:G$156,MATCH($R87,B_InitialSituation!$Q$9:$Q$156,0))*$AH87)</f>
        <v>0</v>
      </c>
      <c r="AJ87" s="527">
        <f>IF(AJ$69&lt;=CNTR_YearMergerSplit,"",INDEX(B_InitialSituation!H$9:H$156,MATCH($R87,B_InitialSituation!$Q$9:$Q$156,0))*$AH87)</f>
        <v>0</v>
      </c>
      <c r="AK87" s="527">
        <f>IF(AK$69&lt;=CNTR_YearMergerSplit,"",INDEX(B_InitialSituation!I$9:I$156,MATCH($R87,B_InitialSituation!$Q$9:$Q$156,0))*$AH87)</f>
        <v>0</v>
      </c>
      <c r="AL87" s="527">
        <f>IF(AL$69&lt;=CNTR_YearMergerSplit,"",INDEX(B_InitialSituation!J$9:J$156,MATCH($R87,B_InitialSituation!$Q$9:$Q$156,0))*$AH87)</f>
        <v>0</v>
      </c>
      <c r="AM87" s="527">
        <f>IF(AM$69&lt;=CNTR_YearMergerSplit,"",INDEX(B_InitialSituation!K$9:K$156,MATCH($R87,B_InitialSituation!$Q$9:$Q$156,0))*$AH87)</f>
        <v>0</v>
      </c>
      <c r="AN87" s="527">
        <f>IF(AN$69&lt;=CNTR_YearMergerSplit,"",INDEX(B_InitialSituation!L$9:L$156,MATCH($R87,B_InitialSituation!$Q$9:$Q$156,0))*$AH87)</f>
        <v>0</v>
      </c>
      <c r="AO87" s="527">
        <f>IF(AO$69&lt;=CNTR_YearMergerSplit,"",INDEX(B_InitialSituation!M$9:M$156,MATCH($R87,B_InitialSituation!$Q$9:$Q$156,0))*$AH87)</f>
        <v>0</v>
      </c>
      <c r="AP87" s="527">
        <f>IF(AP$69&lt;=CNTR_YearMergerSplit,"",INDEX(B_InitialSituation!N$9:N$156,MATCH($R87,B_InitialSituation!$Q$9:$Q$156,0))*$AH87)</f>
        <v>0</v>
      </c>
      <c r="AQ87" s="513"/>
    </row>
    <row r="88" spans="1:43" s="614" customFormat="1" ht="12.75" customHeight="1">
      <c r="A88" s="4"/>
      <c r="B88" s="5"/>
      <c r="C88" s="20"/>
      <c r="D88" s="888" t="str">
        <f>EUconst_TotFreeAlloc</f>
        <v>Total final free allocation</v>
      </c>
      <c r="E88" s="889"/>
      <c r="F88" s="890"/>
      <c r="G88" s="220">
        <f aca="true" t="shared" si="16" ref="G88:N88">IF(COUNT(G70:G87)&gt;0,SUM(G70:G87),"")</f>
      </c>
      <c r="H88" s="220">
        <f t="shared" si="16"/>
      </c>
      <c r="I88" s="220">
        <f t="shared" si="16"/>
      </c>
      <c r="J88" s="220">
        <f t="shared" si="16"/>
      </c>
      <c r="K88" s="220">
        <f t="shared" si="16"/>
      </c>
      <c r="L88" s="220">
        <f t="shared" si="16"/>
      </c>
      <c r="M88" s="220">
        <f t="shared" si="16"/>
      </c>
      <c r="N88" s="220">
        <f t="shared" si="16"/>
      </c>
      <c r="O88" s="375"/>
      <c r="P88" s="9"/>
      <c r="Q88" s="531"/>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3"/>
      <c r="AP88" s="513"/>
      <c r="AQ88" s="513"/>
    </row>
    <row r="89" spans="1:43" s="614" customFormat="1" ht="12.75" customHeight="1">
      <c r="A89" s="4"/>
      <c r="B89" s="5"/>
      <c r="C89" s="7"/>
      <c r="D89" s="5"/>
      <c r="E89" s="5"/>
      <c r="F89" s="5"/>
      <c r="G89" s="5"/>
      <c r="H89" s="5"/>
      <c r="I89" s="5"/>
      <c r="J89" s="5"/>
      <c r="K89" s="5"/>
      <c r="L89" s="5"/>
      <c r="M89" s="9"/>
      <c r="N89" s="9"/>
      <c r="O89" s="366"/>
      <c r="P89" s="9"/>
      <c r="Q89" s="531"/>
      <c r="R89" s="513"/>
      <c r="S89" s="513"/>
      <c r="T89" s="513"/>
      <c r="U89" s="513"/>
      <c r="V89" s="531"/>
      <c r="W89" s="513"/>
      <c r="X89" s="513"/>
      <c r="Y89" s="513"/>
      <c r="Z89" s="513"/>
      <c r="AA89" s="513"/>
      <c r="AB89" s="513"/>
      <c r="AC89" s="513"/>
      <c r="AD89" s="513"/>
      <c r="AE89" s="513"/>
      <c r="AF89" s="513"/>
      <c r="AG89" s="513"/>
      <c r="AH89" s="513"/>
      <c r="AI89" s="513"/>
      <c r="AJ89" s="513"/>
      <c r="AK89" s="513"/>
      <c r="AL89" s="513"/>
      <c r="AM89" s="513"/>
      <c r="AN89" s="513"/>
      <c r="AO89" s="513"/>
      <c r="AP89" s="513"/>
      <c r="AQ89" s="513"/>
    </row>
    <row r="90" spans="1:43" s="614" customFormat="1" ht="15" customHeight="1">
      <c r="A90" s="4"/>
      <c r="B90" s="20"/>
      <c r="C90" s="391">
        <v>2</v>
      </c>
      <c r="D90" s="894" t="str">
        <f>Translations!$B$1591</f>
        <v>New initial installed capacity and new annual activity level:</v>
      </c>
      <c r="E90" s="912"/>
      <c r="F90" s="912"/>
      <c r="G90" s="912"/>
      <c r="H90" s="912"/>
      <c r="I90" s="912"/>
      <c r="J90" s="912"/>
      <c r="K90" s="912"/>
      <c r="L90" s="912"/>
      <c r="M90" s="912"/>
      <c r="N90" s="912"/>
      <c r="O90" s="20"/>
      <c r="P90" s="20"/>
      <c r="Q90" s="530" t="str">
        <f>Translations!$B$1592</f>
        <v>Initial installed capacity and annual activity level</v>
      </c>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row>
    <row r="91" spans="1:43" s="614" customFormat="1" ht="4.5" customHeight="1">
      <c r="A91" s="4"/>
      <c r="B91" s="5"/>
      <c r="C91" s="5"/>
      <c r="D91" s="5"/>
      <c r="E91" s="5"/>
      <c r="F91" s="5"/>
      <c r="G91" s="5"/>
      <c r="H91" s="5"/>
      <c r="I91" s="5"/>
      <c r="J91" s="5"/>
      <c r="K91" s="5"/>
      <c r="L91" s="5"/>
      <c r="M91" s="9"/>
      <c r="N91" s="9"/>
      <c r="O91" s="9"/>
      <c r="P91" s="9"/>
      <c r="Q91" s="531"/>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row>
    <row r="92" spans="1:43" s="618" customFormat="1" ht="38.25" customHeight="1" thickBot="1">
      <c r="A92" s="484"/>
      <c r="B92" s="429"/>
      <c r="C92" s="485"/>
      <c r="D92" s="905" t="str">
        <f>Translations!$B$440</f>
        <v>Sub-installation</v>
      </c>
      <c r="E92" s="906"/>
      <c r="F92" s="906"/>
      <c r="G92" s="907"/>
      <c r="H92" s="69" t="str">
        <f>EUconst_Unit</f>
        <v>Unit</v>
      </c>
      <c r="I92" s="69" t="str">
        <f>Translations!$B$1030</f>
        <v>Initial installed capacity</v>
      </c>
      <c r="J92" s="486" t="str">
        <f>Translations!$B$1187</f>
        <v>Initial annual activity level </v>
      </c>
      <c r="K92" s="5"/>
      <c r="L92" s="375"/>
      <c r="M92" s="375"/>
      <c r="N92" s="375"/>
      <c r="O92" s="487"/>
      <c r="P92" s="488"/>
      <c r="Q92" s="546"/>
      <c r="R92" s="546"/>
      <c r="S92" s="546"/>
      <c r="T92" s="546"/>
      <c r="U92" s="546"/>
      <c r="V92" s="540" t="s">
        <v>1968</v>
      </c>
      <c r="W92" s="546"/>
      <c r="X92" s="528" t="str">
        <f>Translations!$B$1030</f>
        <v>Initial installed capacity</v>
      </c>
      <c r="Y92" s="529" t="str">
        <f>Translations!$B$1187</f>
        <v>Initial annual activity level </v>
      </c>
      <c r="Z92" s="513"/>
      <c r="AA92" s="547"/>
      <c r="AB92" s="547"/>
      <c r="AC92" s="547"/>
      <c r="AD92" s="547"/>
      <c r="AE92" s="547"/>
      <c r="AF92" s="547"/>
      <c r="AG92" s="547"/>
      <c r="AH92" s="550" t="str">
        <f>Translations!$B$1030</f>
        <v>Initial installed capacity</v>
      </c>
      <c r="AI92" s="529" t="str">
        <f>Translations!$B$1187</f>
        <v>Initial annual activity level </v>
      </c>
      <c r="AJ92" s="547"/>
      <c r="AK92" s="547"/>
      <c r="AL92" s="547"/>
      <c r="AM92" s="547"/>
      <c r="AN92" s="547"/>
      <c r="AO92" s="547"/>
      <c r="AP92" s="547"/>
      <c r="AQ92" s="547"/>
    </row>
    <row r="93" spans="1:43" s="614" customFormat="1" ht="12.75" customHeight="1">
      <c r="A93" s="4"/>
      <c r="B93" s="5"/>
      <c r="C93" s="32">
        <v>1</v>
      </c>
      <c r="D93" s="902">
        <f aca="true" t="shared" si="17" ref="D93:D102">IF(D71="","",D71)</f>
      </c>
      <c r="E93" s="903"/>
      <c r="F93" s="903"/>
      <c r="G93" s="904"/>
      <c r="H93" s="68">
        <f aca="true" t="shared" si="18" ref="H93:H102">IF(D93&lt;&gt;"",INDEX(EUconst_BMlistUnits,MATCH($D93,EUconst_BMlistNames,0))&amp;" / "&amp;EUconst_Year,"")</f>
      </c>
      <c r="I93" s="576">
        <f>IF(X93=0,"",ROUND(X93,0))</f>
      </c>
      <c r="J93" s="576">
        <f aca="true" t="shared" si="19" ref="J93:J108">IF(Y93=0,"",ROUND(Y93,0))</f>
      </c>
      <c r="K93" s="5"/>
      <c r="L93" s="375"/>
      <c r="M93" s="375"/>
      <c r="N93" s="375"/>
      <c r="O93" s="375"/>
      <c r="P93" s="572"/>
      <c r="Q93" s="542" t="str">
        <f aca="true" t="shared" si="20" ref="Q93:Q108">EUconst_CNTR_CAPINI&amp;$D93</f>
        <v>CAPINI_</v>
      </c>
      <c r="R93" s="546"/>
      <c r="S93" s="531"/>
      <c r="T93" s="531"/>
      <c r="U93" s="531"/>
      <c r="V93" s="543">
        <f>V87</f>
        <v>1</v>
      </c>
      <c r="W93" s="531"/>
      <c r="X93" s="551">
        <f>SUMIF(C_MergerSplitTransfer!$U$9:$U$68,$Q93,CHOOSE($V93,C_MergerSplitTransfer!I$9:I$68,C_MergerSplitTransfer!L$9:L$68))</f>
        <v>0</v>
      </c>
      <c r="Y93" s="551">
        <f>SUMIF(C_MergerSplitTransfer!$U$9:$U$68,$Q93,CHOOSE($V93,C_MergerSplitTransfer!J$9:J$68,C_MergerSplitTransfer!M$9:M$68))</f>
        <v>0</v>
      </c>
      <c r="Z93" s="513"/>
      <c r="AA93" s="513"/>
      <c r="AB93" s="513"/>
      <c r="AC93" s="513"/>
      <c r="AD93" s="513"/>
      <c r="AE93" s="513"/>
      <c r="AF93" s="513"/>
      <c r="AG93" s="513"/>
      <c r="AH93" s="513"/>
      <c r="AI93" s="513"/>
      <c r="AJ93" s="513"/>
      <c r="AK93" s="513"/>
      <c r="AL93" s="513"/>
      <c r="AM93" s="513"/>
      <c r="AN93" s="513"/>
      <c r="AO93" s="513"/>
      <c r="AP93" s="513"/>
      <c r="AQ93" s="513"/>
    </row>
    <row r="94" spans="1:43" s="614" customFormat="1" ht="12.75" customHeight="1">
      <c r="A94" s="4"/>
      <c r="B94" s="5"/>
      <c r="C94" s="32">
        <v>2</v>
      </c>
      <c r="D94" s="873">
        <f t="shared" si="17"/>
      </c>
      <c r="E94" s="874"/>
      <c r="F94" s="874"/>
      <c r="G94" s="875"/>
      <c r="H94" s="67">
        <f t="shared" si="18"/>
      </c>
      <c r="I94" s="577">
        <f aca="true" t="shared" si="21" ref="I94:I108">IF(X94=0,"",ROUND(X94,0))</f>
      </c>
      <c r="J94" s="577">
        <f t="shared" si="19"/>
      </c>
      <c r="K94" s="5"/>
      <c r="L94" s="375"/>
      <c r="M94" s="375"/>
      <c r="N94" s="375"/>
      <c r="O94" s="375"/>
      <c r="P94" s="372"/>
      <c r="Q94" s="542" t="str">
        <f t="shared" si="20"/>
        <v>CAPINI_</v>
      </c>
      <c r="R94" s="546"/>
      <c r="S94" s="531"/>
      <c r="T94" s="531"/>
      <c r="U94" s="531"/>
      <c r="V94" s="544">
        <f aca="true" t="shared" si="22" ref="V94:V108">V93</f>
        <v>1</v>
      </c>
      <c r="W94" s="531"/>
      <c r="X94" s="551">
        <f>SUMIF(C_MergerSplitTransfer!$U$9:$U$68,$Q94,CHOOSE($V94,C_MergerSplitTransfer!I$9:I$68,C_MergerSplitTransfer!L$9:L$68))</f>
        <v>0</v>
      </c>
      <c r="Y94" s="551">
        <f>SUMIF(C_MergerSplitTransfer!$U$9:$U$68,$Q94,CHOOSE($V94,C_MergerSplitTransfer!J$9:J$68,C_MergerSplitTransfer!M$9:M$68))</f>
        <v>0</v>
      </c>
      <c r="Z94" s="513"/>
      <c r="AA94" s="513"/>
      <c r="AB94" s="513"/>
      <c r="AC94" s="513"/>
      <c r="AD94" s="513"/>
      <c r="AE94" s="513"/>
      <c r="AF94" s="513"/>
      <c r="AG94" s="513"/>
      <c r="AH94" s="513"/>
      <c r="AI94" s="513"/>
      <c r="AJ94" s="513"/>
      <c r="AK94" s="513"/>
      <c r="AL94" s="513"/>
      <c r="AM94" s="513"/>
      <c r="AN94" s="513"/>
      <c r="AO94" s="513"/>
      <c r="AP94" s="513"/>
      <c r="AQ94" s="513"/>
    </row>
    <row r="95" spans="1:43" s="614" customFormat="1" ht="12.75" customHeight="1">
      <c r="A95" s="4"/>
      <c r="B95" s="5"/>
      <c r="C95" s="32">
        <v>3</v>
      </c>
      <c r="D95" s="873">
        <f t="shared" si="17"/>
      </c>
      <c r="E95" s="874"/>
      <c r="F95" s="874"/>
      <c r="G95" s="875"/>
      <c r="H95" s="67">
        <f t="shared" si="18"/>
      </c>
      <c r="I95" s="577">
        <f t="shared" si="21"/>
      </c>
      <c r="J95" s="577">
        <f t="shared" si="19"/>
      </c>
      <c r="K95" s="5"/>
      <c r="L95" s="375"/>
      <c r="M95" s="375"/>
      <c r="N95" s="375"/>
      <c r="O95" s="375"/>
      <c r="P95" s="372"/>
      <c r="Q95" s="542" t="str">
        <f t="shared" si="20"/>
        <v>CAPINI_</v>
      </c>
      <c r="R95" s="546"/>
      <c r="S95" s="531"/>
      <c r="T95" s="531"/>
      <c r="U95" s="531"/>
      <c r="V95" s="544">
        <f t="shared" si="22"/>
        <v>1</v>
      </c>
      <c r="W95" s="531"/>
      <c r="X95" s="551">
        <f>SUMIF(C_MergerSplitTransfer!$U$9:$U$68,$Q95,CHOOSE($V95,C_MergerSplitTransfer!I$9:I$68,C_MergerSplitTransfer!L$9:L$68))</f>
        <v>0</v>
      </c>
      <c r="Y95" s="551">
        <f>SUMIF(C_MergerSplitTransfer!$U$9:$U$68,$Q95,CHOOSE($V95,C_MergerSplitTransfer!J$9:J$68,C_MergerSplitTransfer!M$9:M$68))</f>
        <v>0</v>
      </c>
      <c r="Z95" s="513"/>
      <c r="AA95" s="513"/>
      <c r="AB95" s="513"/>
      <c r="AC95" s="513"/>
      <c r="AD95" s="513"/>
      <c r="AE95" s="513"/>
      <c r="AF95" s="513"/>
      <c r="AG95" s="513"/>
      <c r="AH95" s="513"/>
      <c r="AI95" s="513"/>
      <c r="AJ95" s="513"/>
      <c r="AK95" s="513"/>
      <c r="AL95" s="513"/>
      <c r="AM95" s="513"/>
      <c r="AN95" s="513"/>
      <c r="AO95" s="513"/>
      <c r="AP95" s="513"/>
      <c r="AQ95" s="513"/>
    </row>
    <row r="96" spans="1:43" s="614" customFormat="1" ht="12.75" customHeight="1">
      <c r="A96" s="4"/>
      <c r="B96" s="5"/>
      <c r="C96" s="32">
        <v>4</v>
      </c>
      <c r="D96" s="873">
        <f t="shared" si="17"/>
      </c>
      <c r="E96" s="874"/>
      <c r="F96" s="874"/>
      <c r="G96" s="875"/>
      <c r="H96" s="67">
        <f t="shared" si="18"/>
      </c>
      <c r="I96" s="577">
        <f t="shared" si="21"/>
      </c>
      <c r="J96" s="577">
        <f t="shared" si="19"/>
      </c>
      <c r="K96" s="5"/>
      <c r="L96" s="375"/>
      <c r="M96" s="375"/>
      <c r="N96" s="375"/>
      <c r="O96" s="375"/>
      <c r="P96" s="372"/>
      <c r="Q96" s="542" t="str">
        <f t="shared" si="20"/>
        <v>CAPINI_</v>
      </c>
      <c r="R96" s="546"/>
      <c r="S96" s="531"/>
      <c r="T96" s="531"/>
      <c r="U96" s="531"/>
      <c r="V96" s="544">
        <f t="shared" si="22"/>
        <v>1</v>
      </c>
      <c r="W96" s="531"/>
      <c r="X96" s="551">
        <f>SUMIF(C_MergerSplitTransfer!$U$9:$U$68,$Q96,CHOOSE($V96,C_MergerSplitTransfer!I$9:I$68,C_MergerSplitTransfer!L$9:L$68))</f>
        <v>0</v>
      </c>
      <c r="Y96" s="551">
        <f>SUMIF(C_MergerSplitTransfer!$U$9:$U$68,$Q96,CHOOSE($V96,C_MergerSplitTransfer!J$9:J$68,C_MergerSplitTransfer!M$9:M$68))</f>
        <v>0</v>
      </c>
      <c r="Z96" s="513"/>
      <c r="AA96" s="513"/>
      <c r="AB96" s="513"/>
      <c r="AC96" s="513"/>
      <c r="AD96" s="513"/>
      <c r="AE96" s="513"/>
      <c r="AF96" s="513"/>
      <c r="AG96" s="513"/>
      <c r="AH96" s="513"/>
      <c r="AI96" s="513"/>
      <c r="AJ96" s="513"/>
      <c r="AK96" s="513"/>
      <c r="AL96" s="513"/>
      <c r="AM96" s="513"/>
      <c r="AN96" s="513"/>
      <c r="AO96" s="513"/>
      <c r="AP96" s="513"/>
      <c r="AQ96" s="513"/>
    </row>
    <row r="97" spans="1:43" s="614" customFormat="1" ht="12.75" customHeight="1">
      <c r="A97" s="4"/>
      <c r="B97" s="5"/>
      <c r="C97" s="32">
        <v>5</v>
      </c>
      <c r="D97" s="873">
        <f t="shared" si="17"/>
      </c>
      <c r="E97" s="874"/>
      <c r="F97" s="874"/>
      <c r="G97" s="875"/>
      <c r="H97" s="67">
        <f t="shared" si="18"/>
      </c>
      <c r="I97" s="577">
        <f t="shared" si="21"/>
      </c>
      <c r="J97" s="577">
        <f t="shared" si="19"/>
      </c>
      <c r="K97" s="5"/>
      <c r="L97" s="375"/>
      <c r="M97" s="375"/>
      <c r="N97" s="435"/>
      <c r="O97" s="375"/>
      <c r="P97" s="372"/>
      <c r="Q97" s="542" t="str">
        <f t="shared" si="20"/>
        <v>CAPINI_</v>
      </c>
      <c r="R97" s="546"/>
      <c r="S97" s="531"/>
      <c r="T97" s="531"/>
      <c r="U97" s="531"/>
      <c r="V97" s="544">
        <f t="shared" si="22"/>
        <v>1</v>
      </c>
      <c r="W97" s="531"/>
      <c r="X97" s="551">
        <f>SUMIF(C_MergerSplitTransfer!$U$9:$U$68,$Q97,CHOOSE($V97,C_MergerSplitTransfer!I$9:I$68,C_MergerSplitTransfer!L$9:L$68))</f>
        <v>0</v>
      </c>
      <c r="Y97" s="551">
        <f>SUMIF(C_MergerSplitTransfer!$U$9:$U$68,$Q97,CHOOSE($V97,C_MergerSplitTransfer!J$9:J$68,C_MergerSplitTransfer!M$9:M$68))</f>
        <v>0</v>
      </c>
      <c r="Z97" s="513"/>
      <c r="AA97" s="513"/>
      <c r="AB97" s="513"/>
      <c r="AC97" s="513"/>
      <c r="AD97" s="513"/>
      <c r="AE97" s="513"/>
      <c r="AF97" s="513"/>
      <c r="AG97" s="513"/>
      <c r="AH97" s="513"/>
      <c r="AI97" s="513"/>
      <c r="AJ97" s="513"/>
      <c r="AK97" s="513"/>
      <c r="AL97" s="513"/>
      <c r="AM97" s="513"/>
      <c r="AN97" s="513"/>
      <c r="AO97" s="513"/>
      <c r="AP97" s="513"/>
      <c r="AQ97" s="513"/>
    </row>
    <row r="98" spans="1:43" s="614" customFormat="1" ht="12.75" customHeight="1">
      <c r="A98" s="4"/>
      <c r="B98" s="5"/>
      <c r="C98" s="32">
        <v>6</v>
      </c>
      <c r="D98" s="873">
        <f t="shared" si="17"/>
      </c>
      <c r="E98" s="874"/>
      <c r="F98" s="874"/>
      <c r="G98" s="875"/>
      <c r="H98" s="67">
        <f t="shared" si="18"/>
      </c>
      <c r="I98" s="577">
        <f t="shared" si="21"/>
      </c>
      <c r="J98" s="577">
        <f t="shared" si="19"/>
      </c>
      <c r="K98" s="5"/>
      <c r="L98" s="375"/>
      <c r="M98" s="375"/>
      <c r="N98" s="375"/>
      <c r="O98" s="375"/>
      <c r="P98" s="9"/>
      <c r="Q98" s="542" t="str">
        <f t="shared" si="20"/>
        <v>CAPINI_</v>
      </c>
      <c r="R98" s="546"/>
      <c r="S98" s="531"/>
      <c r="T98" s="531"/>
      <c r="U98" s="531"/>
      <c r="V98" s="544">
        <f t="shared" si="22"/>
        <v>1</v>
      </c>
      <c r="W98" s="531"/>
      <c r="X98" s="551">
        <f>SUMIF(C_MergerSplitTransfer!$U$9:$U$68,$Q98,CHOOSE($V98,C_MergerSplitTransfer!I$9:I$68,C_MergerSplitTransfer!L$9:L$68))</f>
        <v>0</v>
      </c>
      <c r="Y98" s="551">
        <f>SUMIF(C_MergerSplitTransfer!$U$9:$U$68,$Q98,CHOOSE($V98,C_MergerSplitTransfer!J$9:J$68,C_MergerSplitTransfer!M$9:M$68))</f>
        <v>0</v>
      </c>
      <c r="Z98" s="513"/>
      <c r="AA98" s="513"/>
      <c r="AB98" s="513"/>
      <c r="AC98" s="513"/>
      <c r="AD98" s="513"/>
      <c r="AE98" s="513"/>
      <c r="AF98" s="513"/>
      <c r="AG98" s="513"/>
      <c r="AH98" s="513"/>
      <c r="AI98" s="513"/>
      <c r="AJ98" s="513"/>
      <c r="AK98" s="513"/>
      <c r="AL98" s="513"/>
      <c r="AM98" s="513"/>
      <c r="AN98" s="513"/>
      <c r="AO98" s="513"/>
      <c r="AP98" s="513"/>
      <c r="AQ98" s="513"/>
    </row>
    <row r="99" spans="1:43" s="614" customFormat="1" ht="12.75" customHeight="1">
      <c r="A99" s="4"/>
      <c r="B99" s="5"/>
      <c r="C99" s="32">
        <v>7</v>
      </c>
      <c r="D99" s="873">
        <f t="shared" si="17"/>
      </c>
      <c r="E99" s="874"/>
      <c r="F99" s="874"/>
      <c r="G99" s="875"/>
      <c r="H99" s="67">
        <f t="shared" si="18"/>
      </c>
      <c r="I99" s="577">
        <f t="shared" si="21"/>
      </c>
      <c r="J99" s="577">
        <f t="shared" si="19"/>
      </c>
      <c r="K99" s="5"/>
      <c r="L99" s="375"/>
      <c r="M99" s="375"/>
      <c r="N99" s="375"/>
      <c r="O99" s="375"/>
      <c r="P99" s="9"/>
      <c r="Q99" s="542" t="str">
        <f t="shared" si="20"/>
        <v>CAPINI_</v>
      </c>
      <c r="R99" s="546"/>
      <c r="S99" s="531"/>
      <c r="T99" s="531"/>
      <c r="U99" s="531"/>
      <c r="V99" s="544">
        <f t="shared" si="22"/>
        <v>1</v>
      </c>
      <c r="W99" s="531"/>
      <c r="X99" s="551">
        <f>SUMIF(C_MergerSplitTransfer!$U$9:$U$68,$Q99,CHOOSE($V99,C_MergerSplitTransfer!I$9:I$68,C_MergerSplitTransfer!L$9:L$68))</f>
        <v>0</v>
      </c>
      <c r="Y99" s="551">
        <f>SUMIF(C_MergerSplitTransfer!$U$9:$U$68,$Q99,CHOOSE($V99,C_MergerSplitTransfer!J$9:J$68,C_MergerSplitTransfer!M$9:M$68))</f>
        <v>0</v>
      </c>
      <c r="Z99" s="513"/>
      <c r="AA99" s="513"/>
      <c r="AB99" s="513"/>
      <c r="AC99" s="513"/>
      <c r="AD99" s="513"/>
      <c r="AE99" s="513"/>
      <c r="AF99" s="513"/>
      <c r="AG99" s="513"/>
      <c r="AH99" s="513"/>
      <c r="AI99" s="513"/>
      <c r="AJ99" s="513"/>
      <c r="AK99" s="513"/>
      <c r="AL99" s="513"/>
      <c r="AM99" s="513"/>
      <c r="AN99" s="513"/>
      <c r="AO99" s="513"/>
      <c r="AP99" s="513"/>
      <c r="AQ99" s="513"/>
    </row>
    <row r="100" spans="1:43" s="614" customFormat="1" ht="12.75" customHeight="1">
      <c r="A100" s="4"/>
      <c r="B100" s="5"/>
      <c r="C100" s="32">
        <v>8</v>
      </c>
      <c r="D100" s="873">
        <f t="shared" si="17"/>
      </c>
      <c r="E100" s="874"/>
      <c r="F100" s="874"/>
      <c r="G100" s="875"/>
      <c r="H100" s="67">
        <f t="shared" si="18"/>
      </c>
      <c r="I100" s="577">
        <f t="shared" si="21"/>
      </c>
      <c r="J100" s="577">
        <f t="shared" si="19"/>
      </c>
      <c r="K100" s="5"/>
      <c r="L100" s="375"/>
      <c r="M100" s="375"/>
      <c r="N100" s="375"/>
      <c r="O100" s="375"/>
      <c r="P100" s="9"/>
      <c r="Q100" s="542" t="str">
        <f t="shared" si="20"/>
        <v>CAPINI_</v>
      </c>
      <c r="R100" s="546"/>
      <c r="S100" s="531"/>
      <c r="T100" s="531"/>
      <c r="U100" s="531"/>
      <c r="V100" s="544">
        <f t="shared" si="22"/>
        <v>1</v>
      </c>
      <c r="W100" s="531"/>
      <c r="X100" s="551">
        <f>SUMIF(C_MergerSplitTransfer!$U$9:$U$68,$Q100,CHOOSE($V100,C_MergerSplitTransfer!I$9:I$68,C_MergerSplitTransfer!L$9:L$68))</f>
        <v>0</v>
      </c>
      <c r="Y100" s="551">
        <f>SUMIF(C_MergerSplitTransfer!$U$9:$U$68,$Q100,CHOOSE($V100,C_MergerSplitTransfer!J$9:J$68,C_MergerSplitTransfer!M$9:M$68))</f>
        <v>0</v>
      </c>
      <c r="Z100" s="513"/>
      <c r="AA100" s="513"/>
      <c r="AB100" s="513"/>
      <c r="AC100" s="513"/>
      <c r="AD100" s="513"/>
      <c r="AE100" s="513"/>
      <c r="AF100" s="513"/>
      <c r="AG100" s="513"/>
      <c r="AH100" s="513"/>
      <c r="AI100" s="513"/>
      <c r="AJ100" s="513"/>
      <c r="AK100" s="513"/>
      <c r="AL100" s="513"/>
      <c r="AM100" s="513"/>
      <c r="AN100" s="513"/>
      <c r="AO100" s="513"/>
      <c r="AP100" s="513"/>
      <c r="AQ100" s="513"/>
    </row>
    <row r="101" spans="1:43" s="614" customFormat="1" ht="12.75" customHeight="1">
      <c r="A101" s="4"/>
      <c r="B101" s="5"/>
      <c r="C101" s="32">
        <v>9</v>
      </c>
      <c r="D101" s="873">
        <f t="shared" si="17"/>
      </c>
      <c r="E101" s="874"/>
      <c r="F101" s="874"/>
      <c r="G101" s="875"/>
      <c r="H101" s="67">
        <f t="shared" si="18"/>
      </c>
      <c r="I101" s="577">
        <f t="shared" si="21"/>
      </c>
      <c r="J101" s="577">
        <f t="shared" si="19"/>
      </c>
      <c r="K101" s="5"/>
      <c r="L101" s="375"/>
      <c r="M101" s="375"/>
      <c r="N101" s="375"/>
      <c r="O101" s="375"/>
      <c r="P101" s="9"/>
      <c r="Q101" s="542" t="str">
        <f t="shared" si="20"/>
        <v>CAPINI_</v>
      </c>
      <c r="R101" s="546"/>
      <c r="S101" s="531"/>
      <c r="T101" s="531"/>
      <c r="U101" s="531"/>
      <c r="V101" s="544">
        <f t="shared" si="22"/>
        <v>1</v>
      </c>
      <c r="W101" s="531"/>
      <c r="X101" s="551">
        <f>SUMIF(C_MergerSplitTransfer!$U$9:$U$68,$Q101,CHOOSE($V101,C_MergerSplitTransfer!I$9:I$68,C_MergerSplitTransfer!L$9:L$68))</f>
        <v>0</v>
      </c>
      <c r="Y101" s="551">
        <f>SUMIF(C_MergerSplitTransfer!$U$9:$U$68,$Q101,CHOOSE($V101,C_MergerSplitTransfer!J$9:J$68,C_MergerSplitTransfer!M$9:M$68))</f>
        <v>0</v>
      </c>
      <c r="Z101" s="513"/>
      <c r="AA101" s="513"/>
      <c r="AB101" s="513"/>
      <c r="AC101" s="513"/>
      <c r="AD101" s="513"/>
      <c r="AE101" s="513"/>
      <c r="AF101" s="513"/>
      <c r="AG101" s="513"/>
      <c r="AH101" s="513"/>
      <c r="AI101" s="513"/>
      <c r="AJ101" s="513"/>
      <c r="AK101" s="513"/>
      <c r="AL101" s="513"/>
      <c r="AM101" s="513"/>
      <c r="AN101" s="513"/>
      <c r="AO101" s="513"/>
      <c r="AP101" s="513"/>
      <c r="AQ101" s="513"/>
    </row>
    <row r="102" spans="1:43" s="614" customFormat="1" ht="12.75" customHeight="1">
      <c r="A102" s="4"/>
      <c r="B102" s="5"/>
      <c r="C102" s="28">
        <v>10</v>
      </c>
      <c r="D102" s="896">
        <f t="shared" si="17"/>
      </c>
      <c r="E102" s="897"/>
      <c r="F102" s="897"/>
      <c r="G102" s="898"/>
      <c r="H102" s="66">
        <f t="shared" si="18"/>
      </c>
      <c r="I102" s="578">
        <f t="shared" si="21"/>
      </c>
      <c r="J102" s="578">
        <f t="shared" si="19"/>
      </c>
      <c r="K102" s="5"/>
      <c r="L102" s="375"/>
      <c r="M102" s="375"/>
      <c r="N102" s="375"/>
      <c r="O102" s="375"/>
      <c r="P102" s="9"/>
      <c r="Q102" s="542" t="str">
        <f t="shared" si="20"/>
        <v>CAPINI_</v>
      </c>
      <c r="R102" s="546"/>
      <c r="S102" s="531"/>
      <c r="T102" s="531"/>
      <c r="U102" s="531"/>
      <c r="V102" s="544">
        <f t="shared" si="22"/>
        <v>1</v>
      </c>
      <c r="W102" s="531"/>
      <c r="X102" s="551">
        <f>SUMIF(C_MergerSplitTransfer!$U$9:$U$68,$Q102,CHOOSE($V102,C_MergerSplitTransfer!I$9:I$68,C_MergerSplitTransfer!L$9:L$68))</f>
        <v>0</v>
      </c>
      <c r="Y102" s="551">
        <f>SUMIF(C_MergerSplitTransfer!$U$9:$U$68,$Q102,CHOOSE($V102,C_MergerSplitTransfer!J$9:J$68,C_MergerSplitTransfer!M$9:M$68))</f>
        <v>0</v>
      </c>
      <c r="Z102" s="513"/>
      <c r="AA102" s="513"/>
      <c r="AB102" s="513"/>
      <c r="AC102" s="513"/>
      <c r="AD102" s="513"/>
      <c r="AE102" s="513"/>
      <c r="AF102" s="513"/>
      <c r="AG102" s="513"/>
      <c r="AH102" s="513"/>
      <c r="AI102" s="513"/>
      <c r="AJ102" s="513"/>
      <c r="AK102" s="513"/>
      <c r="AL102" s="513"/>
      <c r="AM102" s="513"/>
      <c r="AN102" s="513"/>
      <c r="AO102" s="513"/>
      <c r="AP102" s="513"/>
      <c r="AQ102" s="513"/>
    </row>
    <row r="103" spans="1:43" s="614" customFormat="1" ht="12.75" customHeight="1">
      <c r="A103" s="4"/>
      <c r="B103" s="5"/>
      <c r="C103" s="32">
        <v>11</v>
      </c>
      <c r="D103" s="882" t="str">
        <f aca="true" t="shared" si="23" ref="D103:D108">INDEX(EUconst_FallBackListNames,C103-10)</f>
        <v>Heat benchmark sub-installation, CL</v>
      </c>
      <c r="E103" s="883"/>
      <c r="F103" s="883"/>
      <c r="G103" s="884"/>
      <c r="H103" s="68" t="str">
        <f aca="true" t="shared" si="24" ref="H103:H108">IF(D103&lt;&gt;"",INDEX(EUconst_FallBackListUnits,MATCH($D103,EUconst_FallBackListNames,0))&amp;" / "&amp;EUconst_Year,"")</f>
        <v>TJ / year</v>
      </c>
      <c r="I103" s="576">
        <f t="shared" si="21"/>
      </c>
      <c r="J103" s="576">
        <f t="shared" si="19"/>
      </c>
      <c r="K103" s="5"/>
      <c r="L103" s="375"/>
      <c r="M103" s="375"/>
      <c r="N103" s="375"/>
      <c r="O103" s="375"/>
      <c r="P103" s="9"/>
      <c r="Q103" s="542" t="str">
        <f t="shared" si="20"/>
        <v>CAPINI_Heat benchmark sub-installation, CL</v>
      </c>
      <c r="R103" s="546"/>
      <c r="S103" s="531"/>
      <c r="T103" s="531"/>
      <c r="U103" s="531"/>
      <c r="V103" s="544">
        <f t="shared" si="22"/>
        <v>1</v>
      </c>
      <c r="W103" s="531"/>
      <c r="X103" s="551">
        <f>SUMIF(C_MergerSplitTransfer!$U$9:$U$68,$Q103,CHOOSE($V103,C_MergerSplitTransfer!I$9:I$68,C_MergerSplitTransfer!L$9:L$68))</f>
        <v>0</v>
      </c>
      <c r="Y103" s="551">
        <f>SUMIF(C_MergerSplitTransfer!$U$9:$U$68,$Q103,CHOOSE($V103,C_MergerSplitTransfer!J$9:J$68,C_MergerSplitTransfer!M$9:M$68))</f>
        <v>0</v>
      </c>
      <c r="Z103" s="513"/>
      <c r="AA103" s="513"/>
      <c r="AB103" s="513"/>
      <c r="AC103" s="513"/>
      <c r="AD103" s="513"/>
      <c r="AE103" s="513"/>
      <c r="AF103" s="513"/>
      <c r="AG103" s="513"/>
      <c r="AH103" s="513"/>
      <c r="AI103" s="513"/>
      <c r="AJ103" s="513"/>
      <c r="AK103" s="513"/>
      <c r="AL103" s="513"/>
      <c r="AM103" s="513"/>
      <c r="AN103" s="513"/>
      <c r="AO103" s="513"/>
      <c r="AP103" s="513"/>
      <c r="AQ103" s="513"/>
    </row>
    <row r="104" spans="1:43" s="614" customFormat="1" ht="12.75" customHeight="1">
      <c r="A104" s="4"/>
      <c r="B104" s="5"/>
      <c r="C104" s="32">
        <v>12</v>
      </c>
      <c r="D104" s="876" t="str">
        <f t="shared" si="23"/>
        <v>Heat benchmark sub-installation, non-CL</v>
      </c>
      <c r="E104" s="877"/>
      <c r="F104" s="877"/>
      <c r="G104" s="878"/>
      <c r="H104" s="67" t="str">
        <f t="shared" si="24"/>
        <v>TJ / year</v>
      </c>
      <c r="I104" s="577">
        <f t="shared" si="21"/>
      </c>
      <c r="J104" s="577">
        <f t="shared" si="19"/>
      </c>
      <c r="K104" s="5"/>
      <c r="L104" s="375"/>
      <c r="M104" s="375"/>
      <c r="N104" s="375"/>
      <c r="O104" s="375"/>
      <c r="P104" s="9"/>
      <c r="Q104" s="542" t="str">
        <f t="shared" si="20"/>
        <v>CAPINI_Heat benchmark sub-installation, non-CL</v>
      </c>
      <c r="R104" s="546"/>
      <c r="S104" s="531"/>
      <c r="T104" s="531"/>
      <c r="U104" s="531"/>
      <c r="V104" s="544">
        <f t="shared" si="22"/>
        <v>1</v>
      </c>
      <c r="W104" s="531"/>
      <c r="X104" s="551">
        <f>SUMIF(C_MergerSplitTransfer!$U$9:$U$68,$Q104,CHOOSE($V104,C_MergerSplitTransfer!I$9:I$68,C_MergerSplitTransfer!L$9:L$68))</f>
        <v>0</v>
      </c>
      <c r="Y104" s="551">
        <f>SUMIF(C_MergerSplitTransfer!$U$9:$U$68,$Q104,CHOOSE($V104,C_MergerSplitTransfer!J$9:J$68,C_MergerSplitTransfer!M$9:M$68))</f>
        <v>0</v>
      </c>
      <c r="Z104" s="513"/>
      <c r="AA104" s="513"/>
      <c r="AB104" s="513"/>
      <c r="AC104" s="513"/>
      <c r="AD104" s="513"/>
      <c r="AE104" s="513"/>
      <c r="AF104" s="513"/>
      <c r="AG104" s="513"/>
      <c r="AH104" s="513"/>
      <c r="AI104" s="513"/>
      <c r="AJ104" s="513"/>
      <c r="AK104" s="513"/>
      <c r="AL104" s="513"/>
      <c r="AM104" s="513"/>
      <c r="AN104" s="513"/>
      <c r="AO104" s="513"/>
      <c r="AP104" s="513"/>
      <c r="AQ104" s="513"/>
    </row>
    <row r="105" spans="1:43" s="614" customFormat="1" ht="12.75" customHeight="1">
      <c r="A105" s="4"/>
      <c r="B105" s="5"/>
      <c r="C105" s="32">
        <v>13</v>
      </c>
      <c r="D105" s="876" t="str">
        <f t="shared" si="23"/>
        <v>Fuel benchmark sub-installation, CL</v>
      </c>
      <c r="E105" s="877"/>
      <c r="F105" s="877"/>
      <c r="G105" s="878"/>
      <c r="H105" s="67" t="str">
        <f t="shared" si="24"/>
        <v>TJ / year</v>
      </c>
      <c r="I105" s="577">
        <f t="shared" si="21"/>
      </c>
      <c r="J105" s="577">
        <f t="shared" si="19"/>
      </c>
      <c r="K105" s="5"/>
      <c r="L105" s="375"/>
      <c r="M105" s="375"/>
      <c r="N105" s="375"/>
      <c r="O105" s="375"/>
      <c r="P105" s="9"/>
      <c r="Q105" s="542" t="str">
        <f t="shared" si="20"/>
        <v>CAPINI_Fuel benchmark sub-installation, CL</v>
      </c>
      <c r="R105" s="546"/>
      <c r="S105" s="531"/>
      <c r="T105" s="531"/>
      <c r="U105" s="531"/>
      <c r="V105" s="544">
        <f t="shared" si="22"/>
        <v>1</v>
      </c>
      <c r="W105" s="531"/>
      <c r="X105" s="551">
        <f>SUMIF(C_MergerSplitTransfer!$U$9:$U$68,$Q105,CHOOSE($V105,C_MergerSplitTransfer!I$9:I$68,C_MergerSplitTransfer!L$9:L$68))</f>
        <v>0</v>
      </c>
      <c r="Y105" s="551">
        <f>SUMIF(C_MergerSplitTransfer!$U$9:$U$68,$Q105,CHOOSE($V105,C_MergerSplitTransfer!J$9:J$68,C_MergerSplitTransfer!M$9:M$68))</f>
        <v>0</v>
      </c>
      <c r="Z105" s="513"/>
      <c r="AA105" s="513"/>
      <c r="AB105" s="513"/>
      <c r="AC105" s="513"/>
      <c r="AD105" s="513"/>
      <c r="AE105" s="513"/>
      <c r="AF105" s="513"/>
      <c r="AG105" s="513"/>
      <c r="AH105" s="513"/>
      <c r="AI105" s="513"/>
      <c r="AJ105" s="513"/>
      <c r="AK105" s="513"/>
      <c r="AL105" s="513"/>
      <c r="AM105" s="513"/>
      <c r="AN105" s="513"/>
      <c r="AO105" s="513"/>
      <c r="AP105" s="513"/>
      <c r="AQ105" s="513"/>
    </row>
    <row r="106" spans="1:43" s="614" customFormat="1" ht="12.75" customHeight="1">
      <c r="A106" s="4"/>
      <c r="B106" s="5"/>
      <c r="C106" s="32">
        <v>14</v>
      </c>
      <c r="D106" s="876" t="str">
        <f t="shared" si="23"/>
        <v>Fuel benchmark sub-installation, non-CL</v>
      </c>
      <c r="E106" s="877"/>
      <c r="F106" s="877"/>
      <c r="G106" s="878"/>
      <c r="H106" s="67" t="str">
        <f t="shared" si="24"/>
        <v>TJ / year</v>
      </c>
      <c r="I106" s="577">
        <f t="shared" si="21"/>
      </c>
      <c r="J106" s="577">
        <f t="shared" si="19"/>
      </c>
      <c r="K106" s="5"/>
      <c r="L106" s="375"/>
      <c r="M106" s="375"/>
      <c r="N106" s="375"/>
      <c r="O106" s="375"/>
      <c r="P106" s="9"/>
      <c r="Q106" s="542" t="str">
        <f t="shared" si="20"/>
        <v>CAPINI_Fuel benchmark sub-installation, non-CL</v>
      </c>
      <c r="R106" s="546"/>
      <c r="S106" s="531"/>
      <c r="T106" s="531"/>
      <c r="U106" s="531"/>
      <c r="V106" s="544">
        <f t="shared" si="22"/>
        <v>1</v>
      </c>
      <c r="W106" s="531"/>
      <c r="X106" s="551">
        <f>SUMIF(C_MergerSplitTransfer!$U$9:$U$68,$Q106,CHOOSE($V106,C_MergerSplitTransfer!I$9:I$68,C_MergerSplitTransfer!L$9:L$68))</f>
        <v>0</v>
      </c>
      <c r="Y106" s="551">
        <f>SUMIF(C_MergerSplitTransfer!$U$9:$U$68,$Q106,CHOOSE($V106,C_MergerSplitTransfer!J$9:J$68,C_MergerSplitTransfer!M$9:M$68))</f>
        <v>0</v>
      </c>
      <c r="Z106" s="513"/>
      <c r="AA106" s="513"/>
      <c r="AB106" s="513"/>
      <c r="AC106" s="513"/>
      <c r="AD106" s="513"/>
      <c r="AE106" s="513"/>
      <c r="AF106" s="513"/>
      <c r="AG106" s="513"/>
      <c r="AH106" s="513"/>
      <c r="AI106" s="513"/>
      <c r="AJ106" s="513"/>
      <c r="AK106" s="513"/>
      <c r="AL106" s="513"/>
      <c r="AM106" s="513"/>
      <c r="AN106" s="513"/>
      <c r="AO106" s="513"/>
      <c r="AP106" s="513"/>
      <c r="AQ106" s="513"/>
    </row>
    <row r="107" spans="1:43" s="614" customFormat="1" ht="12.75" customHeight="1">
      <c r="A107" s="4"/>
      <c r="B107" s="5"/>
      <c r="C107" s="32">
        <v>15</v>
      </c>
      <c r="D107" s="876" t="str">
        <f t="shared" si="23"/>
        <v>Process emissions sub-installation, CL</v>
      </c>
      <c r="E107" s="877"/>
      <c r="F107" s="877"/>
      <c r="G107" s="878"/>
      <c r="H107" s="67" t="str">
        <f t="shared" si="24"/>
        <v>t CO2e / year</v>
      </c>
      <c r="I107" s="577">
        <f t="shared" si="21"/>
      </c>
      <c r="J107" s="577">
        <f t="shared" si="19"/>
      </c>
      <c r="K107" s="5"/>
      <c r="L107" s="375"/>
      <c r="M107" s="375"/>
      <c r="N107" s="375"/>
      <c r="O107" s="375"/>
      <c r="P107" s="9"/>
      <c r="Q107" s="542" t="str">
        <f t="shared" si="20"/>
        <v>CAPINI_Process emissions sub-installation, CL</v>
      </c>
      <c r="R107" s="546"/>
      <c r="S107" s="531"/>
      <c r="T107" s="531"/>
      <c r="U107" s="531"/>
      <c r="V107" s="544">
        <f t="shared" si="22"/>
        <v>1</v>
      </c>
      <c r="W107" s="531"/>
      <c r="X107" s="551">
        <f>SUMIF(C_MergerSplitTransfer!$U$9:$U$68,$Q107,CHOOSE($V107,C_MergerSplitTransfer!I$9:I$68,C_MergerSplitTransfer!L$9:L$68))</f>
        <v>0</v>
      </c>
      <c r="Y107" s="551">
        <f>SUMIF(C_MergerSplitTransfer!$U$9:$U$68,$Q107,CHOOSE($V107,C_MergerSplitTransfer!J$9:J$68,C_MergerSplitTransfer!M$9:M$68))</f>
        <v>0</v>
      </c>
      <c r="Z107" s="513"/>
      <c r="AA107" s="513"/>
      <c r="AB107" s="513"/>
      <c r="AC107" s="513"/>
      <c r="AD107" s="513"/>
      <c r="AE107" s="513"/>
      <c r="AF107" s="513"/>
      <c r="AG107" s="513"/>
      <c r="AH107" s="513"/>
      <c r="AI107" s="513"/>
      <c r="AJ107" s="513"/>
      <c r="AK107" s="513"/>
      <c r="AL107" s="513"/>
      <c r="AM107" s="513"/>
      <c r="AN107" s="513"/>
      <c r="AO107" s="513"/>
      <c r="AP107" s="513"/>
      <c r="AQ107" s="513"/>
    </row>
    <row r="108" spans="1:43" s="614" customFormat="1" ht="12.75" customHeight="1" thickBot="1">
      <c r="A108" s="4"/>
      <c r="B108" s="5"/>
      <c r="C108" s="28">
        <v>16</v>
      </c>
      <c r="D108" s="885" t="str">
        <f t="shared" si="23"/>
        <v>Process emissions sub-installation, non-CL</v>
      </c>
      <c r="E108" s="886"/>
      <c r="F108" s="886"/>
      <c r="G108" s="887"/>
      <c r="H108" s="66" t="str">
        <f t="shared" si="24"/>
        <v>t CO2e / year</v>
      </c>
      <c r="I108" s="578">
        <f t="shared" si="21"/>
      </c>
      <c r="J108" s="578">
        <f t="shared" si="19"/>
      </c>
      <c r="K108" s="5"/>
      <c r="L108" s="375"/>
      <c r="M108" s="375"/>
      <c r="N108" s="375"/>
      <c r="O108" s="375"/>
      <c r="P108" s="9"/>
      <c r="Q108" s="542" t="str">
        <f t="shared" si="20"/>
        <v>CAPINI_Process emissions sub-installation, non-CL</v>
      </c>
      <c r="R108" s="546"/>
      <c r="S108" s="531"/>
      <c r="T108" s="531"/>
      <c r="U108" s="531"/>
      <c r="V108" s="545">
        <f t="shared" si="22"/>
        <v>1</v>
      </c>
      <c r="W108" s="531"/>
      <c r="X108" s="551">
        <f>SUMIF(C_MergerSplitTransfer!$U$9:$U$68,$Q108,CHOOSE($V108,C_MergerSplitTransfer!I$9:I$68,C_MergerSplitTransfer!L$9:L$68))</f>
        <v>0</v>
      </c>
      <c r="Y108" s="551">
        <f>SUMIF(C_MergerSplitTransfer!$U$9:$U$68,$Q108,CHOOSE($V108,C_MergerSplitTransfer!J$9:J$68,C_MergerSplitTransfer!M$9:M$68))</f>
        <v>0</v>
      </c>
      <c r="Z108" s="513"/>
      <c r="AA108" s="513"/>
      <c r="AB108" s="513"/>
      <c r="AC108" s="513"/>
      <c r="AD108" s="513"/>
      <c r="AE108" s="513"/>
      <c r="AF108" s="513"/>
      <c r="AG108" s="513"/>
      <c r="AH108" s="513"/>
      <c r="AI108" s="513"/>
      <c r="AJ108" s="513"/>
      <c r="AK108" s="513"/>
      <c r="AL108" s="513"/>
      <c r="AM108" s="513"/>
      <c r="AN108" s="513"/>
      <c r="AO108" s="513"/>
      <c r="AP108" s="513"/>
      <c r="AQ108" s="513"/>
    </row>
    <row r="109" spans="1:43" s="614" customFormat="1" ht="12.75" customHeight="1">
      <c r="A109" s="4"/>
      <c r="B109" s="5"/>
      <c r="C109" s="7"/>
      <c r="D109" s="5"/>
      <c r="E109" s="5"/>
      <c r="F109" s="5"/>
      <c r="G109" s="5"/>
      <c r="H109" s="5"/>
      <c r="I109" s="5"/>
      <c r="J109" s="5"/>
      <c r="K109" s="5"/>
      <c r="L109" s="5"/>
      <c r="M109" s="9"/>
      <c r="N109" s="9"/>
      <c r="O109" s="366"/>
      <c r="P109" s="9"/>
      <c r="Q109" s="531"/>
      <c r="R109" s="546"/>
      <c r="S109" s="513"/>
      <c r="T109" s="513"/>
      <c r="U109" s="513"/>
      <c r="V109" s="513"/>
      <c r="W109" s="513"/>
      <c r="X109" s="513"/>
      <c r="Y109" s="513"/>
      <c r="Z109" s="513"/>
      <c r="AA109" s="513"/>
      <c r="AB109" s="513"/>
      <c r="AC109" s="513"/>
      <c r="AD109" s="513"/>
      <c r="AE109" s="513"/>
      <c r="AF109" s="513"/>
      <c r="AG109" s="513"/>
      <c r="AH109" s="513"/>
      <c r="AI109" s="513"/>
      <c r="AJ109" s="513"/>
      <c r="AK109" s="513"/>
      <c r="AL109" s="513"/>
      <c r="AM109" s="513"/>
      <c r="AN109" s="513"/>
      <c r="AO109" s="513"/>
      <c r="AP109" s="513"/>
      <c r="AQ109" s="513"/>
    </row>
    <row r="110" spans="1:43" s="614" customFormat="1" ht="12.75" customHeight="1">
      <c r="A110" s="4"/>
      <c r="B110" s="5"/>
      <c r="C110" s="7"/>
      <c r="D110" s="5"/>
      <c r="E110" s="5"/>
      <c r="F110" s="5"/>
      <c r="G110" s="5"/>
      <c r="H110" s="5"/>
      <c r="I110" s="5"/>
      <c r="J110" s="5"/>
      <c r="K110" s="5"/>
      <c r="L110" s="5"/>
      <c r="M110" s="9"/>
      <c r="N110" s="9"/>
      <c r="O110" s="366"/>
      <c r="P110" s="9"/>
      <c r="Q110" s="531"/>
      <c r="R110" s="546"/>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row>
    <row r="111" spans="1:43" s="614" customFormat="1" ht="12.75" customHeight="1">
      <c r="A111" s="4"/>
      <c r="B111" s="5"/>
      <c r="C111" s="7"/>
      <c r="D111" s="5"/>
      <c r="E111" s="5"/>
      <c r="F111" s="5"/>
      <c r="G111" s="5"/>
      <c r="H111" s="5"/>
      <c r="I111" s="5"/>
      <c r="J111" s="5"/>
      <c r="K111" s="5"/>
      <c r="L111" s="5"/>
      <c r="M111" s="9"/>
      <c r="N111" s="9"/>
      <c r="O111" s="366"/>
      <c r="P111" s="9"/>
      <c r="Q111" s="531"/>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row>
    <row r="112" spans="1:43" s="614" customFormat="1" ht="12.75" customHeight="1">
      <c r="A112" s="4"/>
      <c r="B112" s="5"/>
      <c r="C112" s="7"/>
      <c r="D112" s="5"/>
      <c r="E112" s="5"/>
      <c r="F112" s="5"/>
      <c r="G112" s="5"/>
      <c r="H112" s="5"/>
      <c r="I112" s="5"/>
      <c r="J112" s="5"/>
      <c r="K112" s="5"/>
      <c r="L112" s="5"/>
      <c r="M112" s="9"/>
      <c r="N112" s="9"/>
      <c r="O112" s="366"/>
      <c r="P112" s="9"/>
      <c r="Q112" s="531"/>
      <c r="R112" s="513"/>
      <c r="S112" s="513"/>
      <c r="T112" s="513"/>
      <c r="U112" s="513"/>
      <c r="V112" s="513"/>
      <c r="W112" s="513"/>
      <c r="X112" s="513"/>
      <c r="Y112" s="513"/>
      <c r="Z112" s="513"/>
      <c r="AA112" s="513"/>
      <c r="AB112" s="513"/>
      <c r="AC112" s="513"/>
      <c r="AD112" s="513"/>
      <c r="AE112" s="513"/>
      <c r="AF112" s="513"/>
      <c r="AG112" s="513"/>
      <c r="AH112" s="513"/>
      <c r="AI112" s="513"/>
      <c r="AJ112" s="513"/>
      <c r="AK112" s="513"/>
      <c r="AL112" s="513"/>
      <c r="AM112" s="513"/>
      <c r="AN112" s="513"/>
      <c r="AO112" s="513"/>
      <c r="AP112" s="513"/>
      <c r="AQ112" s="513"/>
    </row>
    <row r="113" spans="1:43" s="614" customFormat="1" ht="12.75" customHeight="1">
      <c r="A113" s="4"/>
      <c r="B113" s="5"/>
      <c r="C113" s="7"/>
      <c r="D113" s="5"/>
      <c r="E113" s="5"/>
      <c r="F113" s="5"/>
      <c r="G113" s="5"/>
      <c r="H113" s="5"/>
      <c r="I113" s="5"/>
      <c r="J113" s="5"/>
      <c r="K113" s="5"/>
      <c r="L113" s="5"/>
      <c r="M113" s="9"/>
      <c r="N113" s="9"/>
      <c r="O113" s="366"/>
      <c r="P113" s="9"/>
      <c r="Q113" s="531"/>
      <c r="R113" s="513"/>
      <c r="S113" s="513"/>
      <c r="T113" s="513"/>
      <c r="U113" s="513"/>
      <c r="V113" s="513"/>
      <c r="W113" s="513"/>
      <c r="X113" s="513"/>
      <c r="Y113" s="513"/>
      <c r="Z113" s="513"/>
      <c r="AA113" s="513"/>
      <c r="AB113" s="513"/>
      <c r="AC113" s="513"/>
      <c r="AD113" s="513"/>
      <c r="AE113" s="513"/>
      <c r="AF113" s="513"/>
      <c r="AG113" s="513"/>
      <c r="AH113" s="513"/>
      <c r="AI113" s="513"/>
      <c r="AJ113" s="513"/>
      <c r="AK113" s="513"/>
      <c r="AL113" s="513"/>
      <c r="AM113" s="513"/>
      <c r="AN113" s="513"/>
      <c r="AO113" s="513"/>
      <c r="AP113" s="513"/>
      <c r="AQ113" s="513"/>
    </row>
    <row r="114" spans="1:43" s="614" customFormat="1" ht="12.75" customHeight="1">
      <c r="A114" s="4"/>
      <c r="B114" s="5"/>
      <c r="C114" s="7"/>
      <c r="D114" s="5"/>
      <c r="E114" s="5"/>
      <c r="F114" s="5"/>
      <c r="G114" s="5"/>
      <c r="H114" s="5"/>
      <c r="I114" s="5"/>
      <c r="J114" s="5"/>
      <c r="K114" s="5"/>
      <c r="L114" s="5"/>
      <c r="M114" s="9"/>
      <c r="N114" s="9"/>
      <c r="O114" s="366"/>
      <c r="P114" s="9"/>
      <c r="Q114" s="531"/>
      <c r="R114" s="513"/>
      <c r="S114" s="513"/>
      <c r="T114" s="513"/>
      <c r="U114" s="513"/>
      <c r="V114" s="513"/>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3"/>
    </row>
    <row r="115" spans="2:5" ht="12.75">
      <c r="B115" s="621"/>
      <c r="C115" s="621"/>
      <c r="E115" s="621"/>
    </row>
    <row r="117" spans="2:9" ht="12.75">
      <c r="B117" s="621"/>
      <c r="E117" s="621"/>
      <c r="I117" s="621"/>
    </row>
    <row r="119" spans="2:9" ht="12.75">
      <c r="B119" s="621"/>
      <c r="I119" s="622"/>
    </row>
    <row r="121" ht="12.75">
      <c r="B121" s="621"/>
    </row>
    <row r="123" ht="12.75">
      <c r="B123" s="621"/>
    </row>
    <row r="124" ht="12.75">
      <c r="B124" s="621"/>
    </row>
    <row r="127" ht="12.75">
      <c r="B127" s="621"/>
    </row>
    <row r="130" ht="12.75">
      <c r="B130" s="621"/>
    </row>
    <row r="132" ht="12.75">
      <c r="B132" s="621"/>
    </row>
    <row r="144" ht="12.75">
      <c r="B144" s="621"/>
    </row>
  </sheetData>
  <sheetProtection sheet="1" objects="1" scenarios="1" formatCells="0" formatColumns="0" formatRows="0"/>
  <mergeCells count="136">
    <mergeCell ref="D85:F85"/>
    <mergeCell ref="D86:F86"/>
    <mergeCell ref="D80:F80"/>
    <mergeCell ref="D81:F81"/>
    <mergeCell ref="D83:F83"/>
    <mergeCell ref="D77:F77"/>
    <mergeCell ref="D78:F78"/>
    <mergeCell ref="D79:F79"/>
    <mergeCell ref="D71:F71"/>
    <mergeCell ref="D72:F72"/>
    <mergeCell ref="D73:F73"/>
    <mergeCell ref="D90:N90"/>
    <mergeCell ref="D74:F74"/>
    <mergeCell ref="D75:F75"/>
    <mergeCell ref="D76:F76"/>
    <mergeCell ref="D87:F87"/>
    <mergeCell ref="D88:F88"/>
    <mergeCell ref="D82:F82"/>
    <mergeCell ref="D33:N33"/>
    <mergeCell ref="H35:I35"/>
    <mergeCell ref="D69:F69"/>
    <mergeCell ref="D70:F70"/>
    <mergeCell ref="D65:N65"/>
    <mergeCell ref="D84:F84"/>
    <mergeCell ref="M35:N35"/>
    <mergeCell ref="H36:L36"/>
    <mergeCell ref="M39:N39"/>
    <mergeCell ref="M42:N42"/>
    <mergeCell ref="D103:G103"/>
    <mergeCell ref="D92:G92"/>
    <mergeCell ref="D93:G93"/>
    <mergeCell ref="D94:G94"/>
    <mergeCell ref="D95:G95"/>
    <mergeCell ref="D96:G96"/>
    <mergeCell ref="D97:G97"/>
    <mergeCell ref="D104:G104"/>
    <mergeCell ref="D105:G105"/>
    <mergeCell ref="D106:G106"/>
    <mergeCell ref="D107:G107"/>
    <mergeCell ref="D108:G108"/>
    <mergeCell ref="D98:G98"/>
    <mergeCell ref="D99:G99"/>
    <mergeCell ref="D100:G100"/>
    <mergeCell ref="D101:G101"/>
    <mergeCell ref="D102:G102"/>
    <mergeCell ref="E4:F4"/>
    <mergeCell ref="G4:H4"/>
    <mergeCell ref="I4:J4"/>
    <mergeCell ref="K4:L4"/>
    <mergeCell ref="M4:N4"/>
    <mergeCell ref="D6:N6"/>
    <mergeCell ref="B2:D4"/>
    <mergeCell ref="G2:H2"/>
    <mergeCell ref="I2:J2"/>
    <mergeCell ref="K2:L2"/>
    <mergeCell ref="M2:N2"/>
    <mergeCell ref="E3:F3"/>
    <mergeCell ref="G3:H3"/>
    <mergeCell ref="I3:J3"/>
    <mergeCell ref="K3:L3"/>
    <mergeCell ref="M3:N3"/>
    <mergeCell ref="E11:I11"/>
    <mergeCell ref="J11:N11"/>
    <mergeCell ref="J12:N12"/>
    <mergeCell ref="E12:I12"/>
    <mergeCell ref="D10:N10"/>
    <mergeCell ref="H37:L37"/>
    <mergeCell ref="D14:N14"/>
    <mergeCell ref="E15:I15"/>
    <mergeCell ref="J15:N15"/>
    <mergeCell ref="E16:I16"/>
    <mergeCell ref="J16:N16"/>
    <mergeCell ref="D18:N18"/>
    <mergeCell ref="E19:I19"/>
    <mergeCell ref="J19:N19"/>
    <mergeCell ref="E20:I20"/>
    <mergeCell ref="J20:N20"/>
    <mergeCell ref="D22:N22"/>
    <mergeCell ref="E23:I23"/>
    <mergeCell ref="J23:N23"/>
    <mergeCell ref="E24:I24"/>
    <mergeCell ref="J24:N24"/>
    <mergeCell ref="E30:N30"/>
    <mergeCell ref="F46:N46"/>
    <mergeCell ref="F47:N47"/>
    <mergeCell ref="F48:N48"/>
    <mergeCell ref="F49:N49"/>
    <mergeCell ref="F50:N50"/>
    <mergeCell ref="D52:N52"/>
    <mergeCell ref="E53:H53"/>
    <mergeCell ref="I53:K53"/>
    <mergeCell ref="L53:N53"/>
    <mergeCell ref="E54:H54"/>
    <mergeCell ref="I54:K54"/>
    <mergeCell ref="L54:N54"/>
    <mergeCell ref="E55:H55"/>
    <mergeCell ref="I55:K55"/>
    <mergeCell ref="L55:N55"/>
    <mergeCell ref="E56:H56"/>
    <mergeCell ref="I56:K56"/>
    <mergeCell ref="L56:N56"/>
    <mergeCell ref="E57:H57"/>
    <mergeCell ref="I57:K57"/>
    <mergeCell ref="L57:N57"/>
    <mergeCell ref="E58:H58"/>
    <mergeCell ref="I58:K58"/>
    <mergeCell ref="L58:N58"/>
    <mergeCell ref="E62:H62"/>
    <mergeCell ref="I62:K62"/>
    <mergeCell ref="L62:N62"/>
    <mergeCell ref="E59:H59"/>
    <mergeCell ref="I59:K59"/>
    <mergeCell ref="L59:N59"/>
    <mergeCell ref="E60:H60"/>
    <mergeCell ref="I60:K60"/>
    <mergeCell ref="L60:N60"/>
    <mergeCell ref="E63:H63"/>
    <mergeCell ref="I63:K63"/>
    <mergeCell ref="L63:N63"/>
    <mergeCell ref="D67:N67"/>
    <mergeCell ref="U2:V2"/>
    <mergeCell ref="W2:X2"/>
    <mergeCell ref="E31:N31"/>
    <mergeCell ref="E61:H61"/>
    <mergeCell ref="I61:K61"/>
    <mergeCell ref="L61:N61"/>
    <mergeCell ref="Y2:Z2"/>
    <mergeCell ref="S3:T3"/>
    <mergeCell ref="U3:V3"/>
    <mergeCell ref="W3:X3"/>
    <mergeCell ref="Y3:Z3"/>
    <mergeCell ref="S4:T4"/>
    <mergeCell ref="U4:V4"/>
    <mergeCell ref="W4:X4"/>
    <mergeCell ref="Y4:Z4"/>
    <mergeCell ref="S2:T2"/>
  </mergeCells>
  <conditionalFormatting sqref="E31">
    <cfRule type="cellIs" priority="3" dxfId="0" operator="equal" stopIfTrue="1">
      <formula>EUconst_ERR_Mandatory_g</formula>
    </cfRule>
  </conditionalFormatting>
  <conditionalFormatting sqref="E30">
    <cfRule type="cellIs" priority="1" dxfId="0" operator="equal" stopIfTrue="1">
      <formula>EUconst_ERR_Mandatory_ef</formula>
    </cfRule>
  </conditionalFormatting>
  <hyperlinks>
    <hyperlink ref="G2:H2" location="JUMP_Coverpage_Top" display="JUMP_Coverpage_Top"/>
  </hyperlink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Tabelle11">
    <tabColor indexed="9"/>
    <pageSetUpPr fitToPage="1"/>
  </sheetPr>
  <dimension ref="A1:N30"/>
  <sheetViews>
    <sheetView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2.75"/>
  <cols>
    <col min="1" max="1" width="2.7109375" style="20" customWidth="1"/>
    <col min="2" max="3" width="4.7109375" style="20" customWidth="1"/>
    <col min="4" max="13" width="12.7109375" style="20" customWidth="1"/>
    <col min="14" max="14" width="4.7109375" style="20" customWidth="1"/>
    <col min="15" max="16384" width="9.140625" style="20" customWidth="1"/>
  </cols>
  <sheetData>
    <row r="1" spans="1:13" ht="13.5" thickBot="1">
      <c r="A1" s="860" t="str">
        <f>Translations!$B$926</f>
        <v>I. 
MS specific</v>
      </c>
      <c r="B1" s="861"/>
      <c r="C1" s="862"/>
      <c r="D1" s="205" t="str">
        <f>Translations!$B$276</f>
        <v>Navigation area:</v>
      </c>
      <c r="E1" s="204"/>
      <c r="F1" s="668" t="str">
        <f>Translations!$B$290</f>
        <v>Table of contents</v>
      </c>
      <c r="G1" s="655"/>
      <c r="H1" s="655"/>
      <c r="I1" s="655"/>
      <c r="J1" s="655" t="str">
        <f>Translations!$B$277</f>
        <v>Next sheet</v>
      </c>
      <c r="K1" s="655"/>
      <c r="L1" s="655"/>
      <c r="M1" s="662"/>
    </row>
    <row r="2" spans="1:13" ht="13.5" thickBot="1">
      <c r="A2" s="863"/>
      <c r="B2" s="864"/>
      <c r="C2" s="865"/>
      <c r="D2" s="655" t="str">
        <f>Translations!$B$279</f>
        <v>Top of sheet</v>
      </c>
      <c r="E2" s="703"/>
      <c r="F2" s="651"/>
      <c r="G2" s="651"/>
      <c r="H2" s="651"/>
      <c r="I2" s="651"/>
      <c r="J2" s="651"/>
      <c r="K2" s="651"/>
      <c r="L2" s="651"/>
      <c r="M2" s="651"/>
    </row>
    <row r="3" spans="1:13" ht="13.5" thickBot="1">
      <c r="A3" s="866"/>
      <c r="B3" s="867"/>
      <c r="C3" s="868"/>
      <c r="D3" s="655" t="str">
        <f>Translations!$B$280</f>
        <v>End of sheet</v>
      </c>
      <c r="E3" s="655"/>
      <c r="F3" s="651"/>
      <c r="G3" s="651"/>
      <c r="H3" s="651"/>
      <c r="I3" s="651"/>
      <c r="J3" s="651"/>
      <c r="K3" s="651"/>
      <c r="L3" s="651"/>
      <c r="M3" s="651"/>
    </row>
    <row r="4" spans="1:14" ht="12.75">
      <c r="A4" s="5"/>
      <c r="B4" s="6"/>
      <c r="C4" s="7"/>
      <c r="D4" s="7"/>
      <c r="E4" s="8"/>
      <c r="F4" s="8"/>
      <c r="G4" s="8"/>
      <c r="H4" s="5"/>
      <c r="I4" s="5"/>
      <c r="J4" s="5"/>
      <c r="K4" s="5"/>
      <c r="L4" s="9"/>
      <c r="M4" s="9"/>
      <c r="N4" s="9"/>
    </row>
    <row r="5" spans="1:14" ht="23.25" customHeight="1">
      <c r="A5" s="5"/>
      <c r="B5" s="11" t="s">
        <v>1261</v>
      </c>
      <c r="C5" s="11" t="str">
        <f>Translations!$B$927</f>
        <v>Sheet "MSspecific" -  ADDITIONAL DATA REQUIREMENTS BY THE MEMBER STATE</v>
      </c>
      <c r="D5" s="11"/>
      <c r="E5" s="11"/>
      <c r="F5" s="11"/>
      <c r="G5" s="11"/>
      <c r="H5" s="11"/>
      <c r="I5" s="11"/>
      <c r="J5" s="11"/>
      <c r="K5" s="11"/>
      <c r="L5" s="9"/>
      <c r="M5" s="9"/>
      <c r="N5" s="9"/>
    </row>
    <row r="6" spans="1:14" ht="12.75">
      <c r="A6" s="5"/>
      <c r="B6" s="5"/>
      <c r="C6" s="5"/>
      <c r="D6" s="5"/>
      <c r="E6" s="5"/>
      <c r="F6" s="5"/>
      <c r="G6" s="5"/>
      <c r="H6" s="5"/>
      <c r="I6" s="5"/>
      <c r="J6" s="5"/>
      <c r="K6" s="5"/>
      <c r="L6" s="9"/>
      <c r="M6" s="9"/>
      <c r="N6" s="9"/>
    </row>
    <row r="7" spans="1:14" ht="15.75">
      <c r="A7" s="5"/>
      <c r="B7" s="12" t="s">
        <v>81</v>
      </c>
      <c r="C7" s="13" t="str">
        <f>Translations!$B$928</f>
        <v>To be defined by the Member State</v>
      </c>
      <c r="D7" s="13"/>
      <c r="E7" s="13"/>
      <c r="F7" s="13"/>
      <c r="G7" s="13"/>
      <c r="H7" s="13"/>
      <c r="I7" s="13"/>
      <c r="J7" s="13"/>
      <c r="K7" s="13"/>
      <c r="L7" s="13"/>
      <c r="M7" s="13"/>
      <c r="N7" s="9"/>
    </row>
    <row r="8" spans="1:14" ht="4.5" customHeight="1">
      <c r="A8" s="5"/>
      <c r="B8" s="5"/>
      <c r="C8" s="5"/>
      <c r="D8" s="5"/>
      <c r="E8" s="5"/>
      <c r="F8" s="5"/>
      <c r="G8" s="5"/>
      <c r="H8" s="5"/>
      <c r="I8" s="5"/>
      <c r="J8" s="5"/>
      <c r="K8" s="5"/>
      <c r="L8" s="9"/>
      <c r="M8" s="9"/>
      <c r="N8" s="9"/>
    </row>
    <row r="30" spans="3:13" ht="12.75">
      <c r="C30" s="956" t="str">
        <f>Translations!$B$336</f>
        <v>&lt;&lt;&lt; Click here to proceed to next sheet &gt;&gt;&gt; </v>
      </c>
      <c r="D30" s="957"/>
      <c r="E30" s="957"/>
      <c r="F30" s="957"/>
      <c r="G30" s="957"/>
      <c r="H30" s="956"/>
      <c r="I30" s="956"/>
      <c r="J30" s="956"/>
      <c r="K30" s="956"/>
      <c r="L30" s="956"/>
      <c r="M30" s="956"/>
    </row>
  </sheetData>
  <sheetProtection sheet="1" objects="1" scenarios="1" formatCells="0" formatColumns="0" formatRows="0"/>
  <mergeCells count="16">
    <mergeCell ref="J3:K3"/>
    <mergeCell ref="L3:M3"/>
    <mergeCell ref="C30:M30"/>
    <mergeCell ref="J1:K1"/>
    <mergeCell ref="L1:M1"/>
    <mergeCell ref="D2:E2"/>
    <mergeCell ref="F2:G2"/>
    <mergeCell ref="H2:I2"/>
    <mergeCell ref="J2:K2"/>
    <mergeCell ref="L2:M2"/>
    <mergeCell ref="A1:C3"/>
    <mergeCell ref="F1:G1"/>
    <mergeCell ref="H1:I1"/>
    <mergeCell ref="D3:E3"/>
    <mergeCell ref="F3:G3"/>
    <mergeCell ref="H3:I3"/>
  </mergeCells>
  <hyperlinks>
    <hyperlink ref="F1:G1" location="JUMP_TOC_Home" display="Table of contents"/>
    <hyperlink ref="D2:E2" location="JUMP_I_Top" display="Top of sheet"/>
    <hyperlink ref="D3:E3" location="JUMP_I_Bottom" display="End of sheet"/>
    <hyperlink ref="J1:K1" location="JUMP_J_Top" display="Next sheet"/>
    <hyperlink ref="C30:M30" location="JUMP_J_Top" display="JUMP_J_Top"/>
  </hyperlinks>
  <printOptions/>
  <pageMargins left="0.7874015748031497" right="0.7874015748031497" top="0.7874015748031497" bottom="0.7874015748031497" header="0.5118110236220472" footer="0.5118110236220472"/>
  <pageSetup fitToHeight="10" fitToWidth="1" horizontalDpi="600" verticalDpi="600" orientation="portrait" paperSize="9" scale="61"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codeName="Tabelle12">
    <tabColor indexed="9"/>
    <pageSetUpPr fitToPage="1"/>
  </sheetPr>
  <dimension ref="A1:N30"/>
  <sheetViews>
    <sheetView zoomScalePageLayoutView="0" workbookViewId="0" topLeftCell="A1">
      <pane ySplit="3" topLeftCell="A19" activePane="bottomLeft" state="frozen"/>
      <selection pane="topLeft" activeCell="A1" sqref="A1"/>
      <selection pane="bottomLeft" activeCell="H1" sqref="H1:I1"/>
    </sheetView>
  </sheetViews>
  <sheetFormatPr defaultColWidth="9.140625" defaultRowHeight="12.75"/>
  <cols>
    <col min="1" max="1" width="2.7109375" style="607" customWidth="1"/>
    <col min="2" max="3" width="4.7109375" style="607" customWidth="1"/>
    <col min="4" max="13" width="12.7109375" style="607" customWidth="1"/>
    <col min="14" max="14" width="4.7109375" style="607" customWidth="1"/>
    <col min="15" max="16384" width="9.140625" style="607" customWidth="1"/>
  </cols>
  <sheetData>
    <row r="1" spans="1:14" s="20" customFormat="1" ht="13.5" thickBot="1">
      <c r="A1" s="860" t="str">
        <f>Translations!$B$929</f>
        <v>J. 
Comments</v>
      </c>
      <c r="B1" s="861"/>
      <c r="C1" s="862"/>
      <c r="D1" s="205" t="str">
        <f>Translations!$B$276</f>
        <v>Navigation area:</v>
      </c>
      <c r="E1" s="204"/>
      <c r="F1" s="668" t="str">
        <f>Translations!$B$290</f>
        <v>Table of contents</v>
      </c>
      <c r="G1" s="655"/>
      <c r="H1" s="655" t="str">
        <f>Translations!$B$291</f>
        <v>Previous sheet</v>
      </c>
      <c r="I1" s="655"/>
      <c r="J1" s="655"/>
      <c r="K1" s="655"/>
      <c r="L1" s="655"/>
      <c r="M1" s="662"/>
      <c r="N1" s="9"/>
    </row>
    <row r="2" spans="1:14" s="20" customFormat="1" ht="13.5" thickBot="1">
      <c r="A2" s="863"/>
      <c r="B2" s="864"/>
      <c r="C2" s="865"/>
      <c r="D2" s="655" t="str">
        <f>Translations!$B$279</f>
        <v>Top of sheet</v>
      </c>
      <c r="E2" s="703"/>
      <c r="F2" s="651"/>
      <c r="G2" s="651"/>
      <c r="H2" s="651"/>
      <c r="I2" s="651"/>
      <c r="J2" s="651"/>
      <c r="K2" s="651"/>
      <c r="L2" s="651"/>
      <c r="M2" s="651"/>
      <c r="N2" s="9"/>
    </row>
    <row r="3" spans="1:14" s="20" customFormat="1" ht="13.5" thickBot="1">
      <c r="A3" s="866"/>
      <c r="B3" s="867"/>
      <c r="C3" s="868"/>
      <c r="D3" s="655" t="str">
        <f>Translations!$B$280</f>
        <v>End of sheet</v>
      </c>
      <c r="E3" s="655"/>
      <c r="F3" s="651"/>
      <c r="G3" s="651"/>
      <c r="H3" s="651"/>
      <c r="I3" s="651"/>
      <c r="J3" s="651"/>
      <c r="K3" s="651"/>
      <c r="L3" s="651"/>
      <c r="M3" s="651"/>
      <c r="N3" s="9"/>
    </row>
    <row r="4" spans="1:14" s="20" customFormat="1" ht="12.75">
      <c r="A4" s="5"/>
      <c r="B4" s="6"/>
      <c r="C4" s="7"/>
      <c r="D4" s="7"/>
      <c r="E4" s="8"/>
      <c r="F4" s="8"/>
      <c r="G4" s="8"/>
      <c r="H4" s="5"/>
      <c r="I4" s="5"/>
      <c r="J4" s="5"/>
      <c r="K4" s="5"/>
      <c r="L4" s="9"/>
      <c r="M4" s="9"/>
      <c r="N4" s="9"/>
    </row>
    <row r="5" spans="1:14" s="20" customFormat="1" ht="23.25" customHeight="1">
      <c r="A5" s="5"/>
      <c r="B5" s="11" t="s">
        <v>1263</v>
      </c>
      <c r="C5" s="671" t="str">
        <f>Translations!$B$930</f>
        <v>Sheet "Comments" -  COMMENTS AND FURTHER INFORMATION</v>
      </c>
      <c r="D5" s="695"/>
      <c r="E5" s="695"/>
      <c r="F5" s="695"/>
      <c r="G5" s="695"/>
      <c r="H5" s="695"/>
      <c r="I5" s="695"/>
      <c r="J5" s="695"/>
      <c r="K5" s="695"/>
      <c r="L5" s="695"/>
      <c r="M5" s="695"/>
      <c r="N5" s="9"/>
    </row>
    <row r="6" spans="1:14" s="20" customFormat="1" ht="12.75">
      <c r="A6" s="5"/>
      <c r="B6" s="5"/>
      <c r="C6" s="5"/>
      <c r="D6" s="5"/>
      <c r="E6" s="5"/>
      <c r="F6" s="5"/>
      <c r="G6" s="5"/>
      <c r="H6" s="5"/>
      <c r="I6" s="5"/>
      <c r="J6" s="5"/>
      <c r="K6" s="5"/>
      <c r="L6" s="9"/>
      <c r="M6" s="9"/>
      <c r="N6" s="9"/>
    </row>
    <row r="7" spans="1:14" s="20" customFormat="1" ht="15.75">
      <c r="A7" s="5"/>
      <c r="B7" s="12" t="s">
        <v>81</v>
      </c>
      <c r="C7" s="673" t="str">
        <f>Translations!$B$931</f>
        <v>Documents supporting this report</v>
      </c>
      <c r="D7" s="673"/>
      <c r="E7" s="673"/>
      <c r="F7" s="673"/>
      <c r="G7" s="673"/>
      <c r="H7" s="673"/>
      <c r="I7" s="673"/>
      <c r="J7" s="673"/>
      <c r="K7" s="673"/>
      <c r="L7" s="673"/>
      <c r="M7" s="673"/>
      <c r="N7" s="9"/>
    </row>
    <row r="8" spans="1:14" s="20" customFormat="1" ht="4.5" customHeight="1">
      <c r="A8" s="5"/>
      <c r="B8" s="5"/>
      <c r="C8" s="5"/>
      <c r="D8" s="5"/>
      <c r="E8" s="5"/>
      <c r="F8" s="5"/>
      <c r="G8" s="5"/>
      <c r="H8" s="5"/>
      <c r="I8" s="5"/>
      <c r="J8" s="5"/>
      <c r="K8" s="5"/>
      <c r="L8" s="9"/>
      <c r="M8" s="9"/>
      <c r="N8" s="9"/>
    </row>
    <row r="9" spans="1:14" s="20" customFormat="1" ht="15">
      <c r="A9" s="5"/>
      <c r="B9" s="18"/>
      <c r="C9" s="760" t="str">
        <f>Translations!$B$932</f>
        <v>Please list here all relevant documents which are submitted together with this report</v>
      </c>
      <c r="D9" s="695"/>
      <c r="E9" s="695"/>
      <c r="F9" s="695"/>
      <c r="G9" s="695"/>
      <c r="H9" s="695"/>
      <c r="I9" s="695"/>
      <c r="J9" s="695"/>
      <c r="K9" s="695"/>
      <c r="L9" s="695"/>
      <c r="M9" s="695"/>
      <c r="N9" s="9"/>
    </row>
    <row r="10" spans="1:13" s="20" customFormat="1" ht="12.75">
      <c r="A10" s="5"/>
      <c r="B10" s="16"/>
      <c r="C10" s="750" t="str">
        <f>Translations!$B$933</f>
        <v>Additional documents will be needed to support this report. Please provide this information in an electronic format wherever possible.</v>
      </c>
      <c r="D10" s="695"/>
      <c r="E10" s="695"/>
      <c r="F10" s="695"/>
      <c r="G10" s="695"/>
      <c r="H10" s="695"/>
      <c r="I10" s="695"/>
      <c r="J10" s="695"/>
      <c r="K10" s="695"/>
      <c r="L10" s="695"/>
      <c r="M10" s="695"/>
    </row>
    <row r="11" spans="1:13" s="20" customFormat="1" ht="12.75">
      <c r="A11" s="5"/>
      <c r="B11" s="16"/>
      <c r="C11" s="750" t="str">
        <f>Translations!$B$934</f>
        <v>You can provide information as Microsoft Word, Excel, or Adobe Acrobat formats.</v>
      </c>
      <c r="D11" s="695"/>
      <c r="E11" s="695"/>
      <c r="F11" s="695"/>
      <c r="G11" s="695"/>
      <c r="H11" s="695"/>
      <c r="I11" s="695"/>
      <c r="J11" s="695"/>
      <c r="K11" s="695"/>
      <c r="L11" s="695"/>
      <c r="M11" s="695"/>
    </row>
    <row r="12" spans="1:13" s="20" customFormat="1" ht="12.75">
      <c r="A12" s="5"/>
      <c r="B12" s="16"/>
      <c r="C12" s="750" t="str">
        <f>Translations!$B$935</f>
        <v>If needed, check with your competent authority if other file formats than the ones mentioned above are acceptable.</v>
      </c>
      <c r="D12" s="695"/>
      <c r="E12" s="695"/>
      <c r="F12" s="695"/>
      <c r="G12" s="695"/>
      <c r="H12" s="695"/>
      <c r="I12" s="695"/>
      <c r="J12" s="695"/>
      <c r="K12" s="695"/>
      <c r="L12" s="695"/>
      <c r="M12" s="695"/>
    </row>
    <row r="13" spans="1:13" s="20" customFormat="1" ht="12.75">
      <c r="A13" s="5"/>
      <c r="B13" s="16"/>
      <c r="C13" s="750" t="str">
        <f>Translations!$B$936</f>
        <v>Additional documentation provided should be clearly referenced, and the file name / reference number provided below. </v>
      </c>
      <c r="D13" s="695"/>
      <c r="E13" s="695"/>
      <c r="F13" s="695"/>
      <c r="G13" s="695"/>
      <c r="H13" s="695"/>
      <c r="I13" s="695"/>
      <c r="J13" s="695"/>
      <c r="K13" s="695"/>
      <c r="L13" s="695"/>
      <c r="M13" s="695"/>
    </row>
    <row r="14" spans="1:13" s="20" customFormat="1" ht="12.75">
      <c r="A14" s="5"/>
      <c r="B14" s="16"/>
      <c r="C14" s="750" t="str">
        <f>Translations!$B$937</f>
        <v>You are advised to avoid supplying non-relevant information as it can slow down the approval of this report. </v>
      </c>
      <c r="D14" s="695"/>
      <c r="E14" s="695"/>
      <c r="F14" s="695"/>
      <c r="G14" s="695"/>
      <c r="H14" s="695"/>
      <c r="I14" s="695"/>
      <c r="J14" s="695"/>
      <c r="K14" s="695"/>
      <c r="L14" s="695"/>
      <c r="M14" s="695"/>
    </row>
    <row r="15" spans="3:13" s="20" customFormat="1" ht="12.75">
      <c r="C15" s="741" t="str">
        <f>Translations!$B$938</f>
        <v>Please provide file name(s) (if in an electronic format) or document reference number(s) (if hard copy) below:</v>
      </c>
      <c r="D15" s="695"/>
      <c r="E15" s="695"/>
      <c r="F15" s="695"/>
      <c r="G15" s="695"/>
      <c r="H15" s="695"/>
      <c r="I15" s="695"/>
      <c r="J15" s="695"/>
      <c r="K15" s="695"/>
      <c r="L15" s="695"/>
      <c r="M15" s="695"/>
    </row>
    <row r="16" spans="1:14" s="20" customFormat="1" ht="4.5" customHeight="1">
      <c r="A16" s="5"/>
      <c r="B16" s="5"/>
      <c r="C16" s="5"/>
      <c r="D16" s="5"/>
      <c r="E16" s="5"/>
      <c r="F16" s="5"/>
      <c r="G16" s="5"/>
      <c r="H16" s="5"/>
      <c r="I16" s="5"/>
      <c r="J16" s="5"/>
      <c r="K16" s="5"/>
      <c r="L16" s="9"/>
      <c r="M16" s="9"/>
      <c r="N16" s="9"/>
    </row>
    <row r="17" spans="4:13" s="20" customFormat="1" ht="12.75">
      <c r="D17" s="24" t="str">
        <f>Translations!$B$939</f>
        <v>File name/Reference</v>
      </c>
      <c r="E17" s="112"/>
      <c r="F17" s="24" t="str">
        <f>Translations!$B$940</f>
        <v>Document description</v>
      </c>
      <c r="G17" s="24"/>
      <c r="H17" s="24"/>
      <c r="I17" s="24"/>
      <c r="J17" s="24"/>
      <c r="K17" s="24"/>
      <c r="L17" s="22"/>
      <c r="M17" s="22"/>
    </row>
    <row r="18" spans="4:13" s="20" customFormat="1" ht="12.75">
      <c r="D18" s="967"/>
      <c r="E18" s="968"/>
      <c r="F18" s="969"/>
      <c r="G18" s="970"/>
      <c r="H18" s="970"/>
      <c r="I18" s="970"/>
      <c r="J18" s="970"/>
      <c r="K18" s="970"/>
      <c r="L18" s="970"/>
      <c r="M18" s="970"/>
    </row>
    <row r="19" spans="4:13" s="20" customFormat="1" ht="12.75">
      <c r="D19" s="959"/>
      <c r="E19" s="960"/>
      <c r="F19" s="961"/>
      <c r="G19" s="962"/>
      <c r="H19" s="962"/>
      <c r="I19" s="962"/>
      <c r="J19" s="962"/>
      <c r="K19" s="962"/>
      <c r="L19" s="962"/>
      <c r="M19" s="962"/>
    </row>
    <row r="20" spans="4:13" s="20" customFormat="1" ht="12.75">
      <c r="D20" s="959"/>
      <c r="E20" s="960"/>
      <c r="F20" s="961"/>
      <c r="G20" s="962"/>
      <c r="H20" s="962"/>
      <c r="I20" s="962"/>
      <c r="J20" s="962"/>
      <c r="K20" s="962"/>
      <c r="L20" s="962"/>
      <c r="M20" s="962"/>
    </row>
    <row r="21" spans="4:13" s="20" customFormat="1" ht="12.75">
      <c r="D21" s="959"/>
      <c r="E21" s="960"/>
      <c r="F21" s="961"/>
      <c r="G21" s="962"/>
      <c r="H21" s="962"/>
      <c r="I21" s="962"/>
      <c r="J21" s="962"/>
      <c r="K21" s="962"/>
      <c r="L21" s="962"/>
      <c r="M21" s="962"/>
    </row>
    <row r="22" spans="4:13" s="20" customFormat="1" ht="12.75">
      <c r="D22" s="959"/>
      <c r="E22" s="960"/>
      <c r="F22" s="961"/>
      <c r="G22" s="962"/>
      <c r="H22" s="962"/>
      <c r="I22" s="962"/>
      <c r="J22" s="962"/>
      <c r="K22" s="962"/>
      <c r="L22" s="962"/>
      <c r="M22" s="962"/>
    </row>
    <row r="23" spans="4:13" s="20" customFormat="1" ht="12.75">
      <c r="D23" s="959"/>
      <c r="E23" s="960"/>
      <c r="F23" s="961"/>
      <c r="G23" s="962"/>
      <c r="H23" s="962"/>
      <c r="I23" s="962"/>
      <c r="J23" s="962"/>
      <c r="K23" s="962"/>
      <c r="L23" s="962"/>
      <c r="M23" s="962"/>
    </row>
    <row r="24" spans="4:13" s="20" customFormat="1" ht="12.75">
      <c r="D24" s="959"/>
      <c r="E24" s="960"/>
      <c r="F24" s="961"/>
      <c r="G24" s="962"/>
      <c r="H24" s="962"/>
      <c r="I24" s="962"/>
      <c r="J24" s="962"/>
      <c r="K24" s="962"/>
      <c r="L24" s="962"/>
      <c r="M24" s="962"/>
    </row>
    <row r="25" spans="4:13" s="20" customFormat="1" ht="12.75">
      <c r="D25" s="959"/>
      <c r="E25" s="960"/>
      <c r="F25" s="961"/>
      <c r="G25" s="962"/>
      <c r="H25" s="962"/>
      <c r="I25" s="962"/>
      <c r="J25" s="962"/>
      <c r="K25" s="962"/>
      <c r="L25" s="962"/>
      <c r="M25" s="962"/>
    </row>
    <row r="26" spans="4:13" s="20" customFormat="1" ht="12.75">
      <c r="D26" s="963"/>
      <c r="E26" s="964"/>
      <c r="F26" s="965"/>
      <c r="G26" s="966"/>
      <c r="H26" s="966"/>
      <c r="I26" s="966"/>
      <c r="J26" s="966"/>
      <c r="K26" s="966"/>
      <c r="L26" s="966"/>
      <c r="M26" s="966"/>
    </row>
    <row r="27" s="20" customFormat="1" ht="12.75"/>
    <row r="28" spans="1:14" s="20" customFormat="1" ht="15.75">
      <c r="A28" s="5"/>
      <c r="B28" s="12" t="s">
        <v>203</v>
      </c>
      <c r="C28" s="673" t="str">
        <f>Translations!$B$941</f>
        <v>Free space for all kinds of supplemental information</v>
      </c>
      <c r="D28" s="673"/>
      <c r="E28" s="673"/>
      <c r="F28" s="673"/>
      <c r="G28" s="673"/>
      <c r="H28" s="673"/>
      <c r="I28" s="673"/>
      <c r="J28" s="673"/>
      <c r="K28" s="673"/>
      <c r="L28" s="673"/>
      <c r="M28" s="673"/>
      <c r="N28" s="9"/>
    </row>
    <row r="29" spans="1:14" s="20" customFormat="1" ht="4.5" customHeight="1">
      <c r="A29" s="5"/>
      <c r="B29" s="5"/>
      <c r="C29" s="5"/>
      <c r="D29" s="5"/>
      <c r="E29" s="5"/>
      <c r="F29" s="5"/>
      <c r="G29" s="5"/>
      <c r="H29" s="5"/>
      <c r="I29" s="5"/>
      <c r="J29" s="5"/>
      <c r="K29" s="5"/>
      <c r="L29" s="9"/>
      <c r="M29" s="9"/>
      <c r="N29" s="9"/>
    </row>
    <row r="30" spans="1:14" s="20" customFormat="1" ht="30" customHeight="1">
      <c r="A30" s="5"/>
      <c r="B30" s="71"/>
      <c r="C30" s="958" t="str">
        <f>Translations!$B$942</f>
        <v>In space below you can enter all information which was not suitable for input in other sheets and which you consider important for the competent authority</v>
      </c>
      <c r="D30" s="958"/>
      <c r="E30" s="958"/>
      <c r="F30" s="958"/>
      <c r="G30" s="958"/>
      <c r="H30" s="958"/>
      <c r="I30" s="958"/>
      <c r="J30" s="958"/>
      <c r="K30" s="958"/>
      <c r="L30" s="958"/>
      <c r="M30" s="958"/>
      <c r="N30" s="9"/>
    </row>
  </sheetData>
  <sheetProtection sheet="1" objects="1" scenarios="1" formatCells="0" formatColumns="0" formatRows="0"/>
  <mergeCells count="44">
    <mergeCell ref="C11:M11"/>
    <mergeCell ref="C12:M12"/>
    <mergeCell ref="D19:E19"/>
    <mergeCell ref="F24:M24"/>
    <mergeCell ref="D23:E23"/>
    <mergeCell ref="F19:M19"/>
    <mergeCell ref="F22:M22"/>
    <mergeCell ref="F26:M26"/>
    <mergeCell ref="C13:M13"/>
    <mergeCell ref="C14:M14"/>
    <mergeCell ref="C15:M15"/>
    <mergeCell ref="D20:E20"/>
    <mergeCell ref="F20:M20"/>
    <mergeCell ref="D18:E18"/>
    <mergeCell ref="F18:M18"/>
    <mergeCell ref="A1:C3"/>
    <mergeCell ref="J1:K1"/>
    <mergeCell ref="D3:E3"/>
    <mergeCell ref="L1:M1"/>
    <mergeCell ref="F3:G3"/>
    <mergeCell ref="H3:I3"/>
    <mergeCell ref="F1:G1"/>
    <mergeCell ref="H1:I1"/>
    <mergeCell ref="L2:M2"/>
    <mergeCell ref="C10:M10"/>
    <mergeCell ref="J3:K3"/>
    <mergeCell ref="C7:M7"/>
    <mergeCell ref="D2:E2"/>
    <mergeCell ref="F2:G2"/>
    <mergeCell ref="H2:I2"/>
    <mergeCell ref="J2:K2"/>
    <mergeCell ref="C5:M5"/>
    <mergeCell ref="C9:M9"/>
    <mergeCell ref="L3:M3"/>
    <mergeCell ref="C30:M30"/>
    <mergeCell ref="D25:E25"/>
    <mergeCell ref="F25:M25"/>
    <mergeCell ref="D21:E21"/>
    <mergeCell ref="F21:M21"/>
    <mergeCell ref="D22:E22"/>
    <mergeCell ref="F23:M23"/>
    <mergeCell ref="D24:E24"/>
    <mergeCell ref="C28:M28"/>
    <mergeCell ref="D26:E26"/>
  </mergeCells>
  <hyperlinks>
    <hyperlink ref="F1:G1" location="JUMP_TOC_Home" display="Table of contents"/>
    <hyperlink ref="D2:E2" location="JUMP_J_Top" display="Top of sheet"/>
    <hyperlink ref="D3:E3" location="JUMP_J_II" display="End of sheet"/>
    <hyperlink ref="H1:I1" location="JUMP_I_Top" display="Previous sheet"/>
  </hyperlinks>
  <printOptions/>
  <pageMargins left="0.7874015748031497" right="0.7874015748031497" top="0.7874015748031497" bottom="0.7874015748031497" header="0.5118110236220472" footer="0.5118110236220472"/>
  <pageSetup fitToHeight="10" fitToWidth="1" horizontalDpi="600" verticalDpi="600" orientation="portrait" paperSize="9" scale="61"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codeName="Tabelle14">
    <tabColor indexed="12"/>
    <pageSetUpPr fitToPage="1"/>
  </sheetPr>
  <dimension ref="A1:AF374"/>
  <sheetViews>
    <sheetView zoomScalePageLayoutView="0" workbookViewId="0" topLeftCell="A1">
      <selection activeCell="D16" sqref="D16"/>
    </sheetView>
  </sheetViews>
  <sheetFormatPr defaultColWidth="9.140625" defaultRowHeight="12.75"/>
  <cols>
    <col min="1" max="1" width="34.421875" style="85" customWidth="1"/>
    <col min="2" max="18" width="9.140625" style="85" customWidth="1"/>
    <col min="19" max="16384" width="9.140625" style="85" customWidth="1"/>
  </cols>
  <sheetData>
    <row r="1" spans="1:8" ht="12.75">
      <c r="A1" s="117" t="str">
        <f>Translations!$B$1431</f>
        <v>Name</v>
      </c>
      <c r="B1" s="117" t="str">
        <f>Translations!$B$1432</f>
        <v>Constant</v>
      </c>
      <c r="C1" s="117" t="str">
        <f>Translations!$B$1433</f>
        <v>Further constants</v>
      </c>
      <c r="D1" s="118"/>
      <c r="E1" s="118"/>
      <c r="F1" s="118"/>
      <c r="G1" s="118"/>
      <c r="H1" s="118"/>
    </row>
    <row r="2" spans="1:10" ht="12.75">
      <c r="A2" s="389" t="s">
        <v>200</v>
      </c>
      <c r="B2" s="119">
        <v>2012</v>
      </c>
      <c r="C2" s="119">
        <v>2013</v>
      </c>
      <c r="D2" s="119">
        <v>2014</v>
      </c>
      <c r="E2" s="119">
        <v>2015</v>
      </c>
      <c r="F2" s="119">
        <v>2016</v>
      </c>
      <c r="G2" s="119">
        <v>2017</v>
      </c>
      <c r="H2" s="119">
        <v>2018</v>
      </c>
      <c r="I2" s="119">
        <v>2019</v>
      </c>
      <c r="J2" s="119">
        <v>2020</v>
      </c>
    </row>
    <row r="3" spans="1:7" ht="12.75">
      <c r="A3" s="85" t="s">
        <v>859</v>
      </c>
      <c r="B3" s="119" t="s">
        <v>860</v>
      </c>
      <c r="C3" s="119" t="s">
        <v>861</v>
      </c>
      <c r="D3" s="86"/>
      <c r="E3" s="86"/>
      <c r="F3" s="86"/>
      <c r="G3" s="86"/>
    </row>
    <row r="4" spans="1:3" ht="12.75">
      <c r="A4" s="85" t="s">
        <v>79</v>
      </c>
      <c r="B4" s="119" t="b">
        <v>1</v>
      </c>
      <c r="C4" s="119" t="b">
        <v>0</v>
      </c>
    </row>
    <row r="5" spans="1:4" ht="12.75">
      <c r="A5" s="85" t="s">
        <v>80</v>
      </c>
      <c r="B5" s="119" t="b">
        <v>1</v>
      </c>
      <c r="C5" s="119" t="b">
        <v>0</v>
      </c>
      <c r="D5" s="120" t="str">
        <f>EUconst_NA</f>
        <v>N.A.</v>
      </c>
    </row>
    <row r="6" spans="1:3" ht="12.75">
      <c r="A6" s="85" t="s">
        <v>698</v>
      </c>
      <c r="B6" s="119" t="str">
        <f>Translations!B3</f>
        <v>Absolute values</v>
      </c>
      <c r="C6" s="119" t="str">
        <f>Translations!B4</f>
        <v>Percentages</v>
      </c>
    </row>
    <row r="7" spans="1:4" ht="12.75">
      <c r="A7" s="389" t="s">
        <v>298</v>
      </c>
      <c r="B7" s="382" t="str">
        <f>Translations!$B$1434</f>
        <v>Total activity</v>
      </c>
      <c r="C7" s="382" t="str">
        <f>Translations!$B$1435</f>
        <v>Related to added capacity</v>
      </c>
      <c r="D7" s="380" t="s">
        <v>950</v>
      </c>
    </row>
    <row r="8" spans="1:4" ht="12.75">
      <c r="A8" s="389" t="s">
        <v>1857</v>
      </c>
      <c r="B8" s="382" t="str">
        <f>Translations!$B$1005</f>
        <v>Private households</v>
      </c>
      <c r="C8" s="380" t="s">
        <v>950</v>
      </c>
      <c r="D8" s="380"/>
    </row>
    <row r="9" spans="1:4" ht="12.75">
      <c r="A9" s="389" t="s">
        <v>369</v>
      </c>
      <c r="B9" s="382" t="str">
        <f>Translations!$B$1436</f>
        <v>Total final free allocation</v>
      </c>
      <c r="C9" s="380" t="s">
        <v>950</v>
      </c>
      <c r="D9" s="380"/>
    </row>
    <row r="10" spans="1:2" ht="12.75">
      <c r="A10" s="85" t="s">
        <v>1792</v>
      </c>
      <c r="B10" s="119" t="str">
        <f>Translations!$B$2</f>
        <v>N.A.</v>
      </c>
    </row>
    <row r="11" spans="1:2" ht="12.75">
      <c r="A11" s="85" t="s">
        <v>306</v>
      </c>
      <c r="B11" s="119" t="s">
        <v>307</v>
      </c>
    </row>
    <row r="12" spans="1:2" ht="12.75">
      <c r="A12" s="85" t="s">
        <v>393</v>
      </c>
      <c r="B12" s="119" t="str">
        <f>Translations!B5</f>
        <v>Unit</v>
      </c>
    </row>
    <row r="13" spans="1:2" ht="12.75">
      <c r="A13" s="85" t="s">
        <v>1218</v>
      </c>
      <c r="B13" s="119" t="str">
        <f>Translations!B6</f>
        <v>Month</v>
      </c>
    </row>
    <row r="14" spans="1:2" ht="12.75">
      <c r="A14" s="85" t="s">
        <v>1486</v>
      </c>
      <c r="B14" s="119" t="str">
        <f>Translations!B7</f>
        <v>Fuel</v>
      </c>
    </row>
    <row r="15" spans="1:2" ht="12.75">
      <c r="A15" s="85" t="s">
        <v>819</v>
      </c>
      <c r="B15" s="119" t="str">
        <f>Translations!B8</f>
        <v>Benchmark</v>
      </c>
    </row>
    <row r="16" spans="1:3" ht="12.75">
      <c r="A16" s="85" t="s">
        <v>734</v>
      </c>
      <c r="B16" s="119" t="str">
        <f>Translations!$B$440</f>
        <v>Sub-installation</v>
      </c>
      <c r="C16" s="380" t="s">
        <v>950</v>
      </c>
    </row>
    <row r="17" spans="1:2" ht="12.75">
      <c r="A17" s="85" t="s">
        <v>1489</v>
      </c>
      <c r="B17" s="119" t="str">
        <f>Translations!B9</f>
        <v>Process emissions source</v>
      </c>
    </row>
    <row r="18" spans="1:2" ht="12.75">
      <c r="A18" s="85" t="s">
        <v>1849</v>
      </c>
      <c r="B18" s="119" t="str">
        <f>Translations!B10</f>
        <v>Mass balance component</v>
      </c>
    </row>
    <row r="19" spans="1:2" ht="12.75">
      <c r="A19" s="85" t="s">
        <v>1850</v>
      </c>
      <c r="B19" s="119" t="str">
        <f>Translations!B11</f>
        <v>CEMS source</v>
      </c>
    </row>
    <row r="20" spans="1:2" ht="12.75">
      <c r="A20" s="85" t="s">
        <v>1851</v>
      </c>
      <c r="B20" s="119" t="str">
        <f>Translations!B12</f>
        <v>N2O source</v>
      </c>
    </row>
    <row r="21" spans="1:2" ht="12.75">
      <c r="A21" s="85" t="s">
        <v>1081</v>
      </c>
      <c r="B21" s="119" t="str">
        <f>Translations!B13</f>
        <v>PFC source</v>
      </c>
    </row>
    <row r="22" spans="1:2" ht="12.75">
      <c r="A22" s="85" t="s">
        <v>1082</v>
      </c>
      <c r="B22" s="119" t="str">
        <f>Translations!B14</f>
        <v>Transferred or stored emissions</v>
      </c>
    </row>
    <row r="23" spans="1:2" ht="12.75">
      <c r="A23" s="85" t="s">
        <v>1221</v>
      </c>
      <c r="B23" s="119" t="str">
        <f>Translations!B15</f>
        <v>Sub-installation with product benchmark</v>
      </c>
    </row>
    <row r="24" spans="1:2" ht="12.75">
      <c r="A24" s="85" t="s">
        <v>1580</v>
      </c>
      <c r="B24" s="119" t="str">
        <f>Translations!B16</f>
        <v>Fall-Back Sub-installation</v>
      </c>
    </row>
    <row r="25" spans="1:2" ht="12.75">
      <c r="A25" s="90" t="s">
        <v>167</v>
      </c>
      <c r="B25" s="119" t="str">
        <f>Translations!B17</f>
        <v>year</v>
      </c>
    </row>
    <row r="26" spans="1:3" ht="12.75">
      <c r="A26" s="371" t="s">
        <v>8</v>
      </c>
      <c r="B26" s="382" t="str">
        <f>Translations!$B$6</f>
        <v>Month</v>
      </c>
      <c r="C26" s="380" t="s">
        <v>950</v>
      </c>
    </row>
    <row r="27" spans="1:2" ht="12.75">
      <c r="A27" s="90" t="s">
        <v>168</v>
      </c>
      <c r="B27" s="119" t="str">
        <f>Translations!B18</f>
        <v>tonnes</v>
      </c>
    </row>
    <row r="28" spans="1:2" ht="12.75">
      <c r="A28" s="90" t="s">
        <v>1805</v>
      </c>
      <c r="B28" s="119" t="s">
        <v>1803</v>
      </c>
    </row>
    <row r="29" spans="1:2" ht="12.75">
      <c r="A29" s="90" t="s">
        <v>394</v>
      </c>
      <c r="B29" s="119" t="s">
        <v>395</v>
      </c>
    </row>
    <row r="30" spans="1:7" ht="12.75">
      <c r="A30" s="90" t="s">
        <v>1806</v>
      </c>
      <c r="B30" s="119" t="s">
        <v>1804</v>
      </c>
      <c r="C30" s="90"/>
      <c r="D30" s="90"/>
      <c r="E30" s="90"/>
      <c r="F30" s="90"/>
      <c r="G30" s="90"/>
    </row>
    <row r="31" spans="1:7" ht="12.75">
      <c r="A31" s="90" t="s">
        <v>400</v>
      </c>
      <c r="B31" s="119" t="s">
        <v>401</v>
      </c>
      <c r="C31" s="90"/>
      <c r="D31" s="90"/>
      <c r="E31" s="90"/>
      <c r="F31" s="90"/>
      <c r="G31" s="90"/>
    </row>
    <row r="32" spans="1:7" ht="12.75">
      <c r="A32" s="90" t="s">
        <v>402</v>
      </c>
      <c r="B32" s="119" t="s">
        <v>403</v>
      </c>
      <c r="C32" s="90"/>
      <c r="D32" s="90"/>
      <c r="E32" s="90"/>
      <c r="F32" s="90"/>
      <c r="G32" s="90"/>
    </row>
    <row r="33" spans="1:2" ht="12.75">
      <c r="A33" s="90" t="s">
        <v>482</v>
      </c>
      <c r="B33" s="119" t="str">
        <f>EUconst_TJ&amp;" / "&amp;EUconst_Year</f>
        <v>TJ / year</v>
      </c>
    </row>
    <row r="34" spans="1:2" ht="12.75">
      <c r="A34" s="90" t="s">
        <v>396</v>
      </c>
      <c r="B34" s="119" t="s">
        <v>397</v>
      </c>
    </row>
    <row r="35" spans="1:2" ht="12.75">
      <c r="A35" s="90" t="s">
        <v>476</v>
      </c>
      <c r="B35" s="119" t="str">
        <f>EUconst_MWh&amp;" / "&amp;EUconst_Year</f>
        <v>MWh / year</v>
      </c>
    </row>
    <row r="36" spans="1:2" ht="12.75">
      <c r="A36" s="90" t="s">
        <v>398</v>
      </c>
      <c r="B36" s="119" t="s">
        <v>399</v>
      </c>
    </row>
    <row r="37" spans="1:2" ht="12.75">
      <c r="A37" s="90" t="s">
        <v>477</v>
      </c>
      <c r="B37" s="119" t="str">
        <f>EUconst_t&amp;" / "&amp;EUconst_Year</f>
        <v>t / year</v>
      </c>
    </row>
    <row r="38" spans="1:2" ht="12.75">
      <c r="A38" s="90" t="s">
        <v>308</v>
      </c>
      <c r="B38" s="119" t="str">
        <f>EUconst_EUA&amp;" / "&amp;EUconst_Year</f>
        <v>EUA / year</v>
      </c>
    </row>
    <row r="39" spans="1:2" ht="12.75">
      <c r="A39" s="90" t="s">
        <v>310</v>
      </c>
      <c r="B39" s="119" t="str">
        <f>EUconst_EUA&amp;" / "&amp;EUconst_t</f>
        <v>EUA / t</v>
      </c>
    </row>
    <row r="40" spans="1:2" ht="12.75">
      <c r="A40" s="90" t="s">
        <v>478</v>
      </c>
      <c r="B40" s="119" t="str">
        <f>EUconst_GJ&amp;" / "&amp;EUconst_t</f>
        <v>GJ / t</v>
      </c>
    </row>
    <row r="41" spans="1:2" ht="12.75">
      <c r="A41" s="90" t="s">
        <v>1083</v>
      </c>
      <c r="B41" s="119" t="str">
        <f>EUconst_GJ&amp;" / "&amp;EUconst_Year</f>
        <v>GJ / year</v>
      </c>
    </row>
    <row r="42" spans="1:2" ht="12.75">
      <c r="A42" s="90" t="s">
        <v>479</v>
      </c>
      <c r="B42" s="119" t="str">
        <f>EUconst_tCO2&amp;" / "&amp;EUconst_TJ</f>
        <v>t CO2 / TJ</v>
      </c>
    </row>
    <row r="43" spans="1:2" ht="12.75">
      <c r="A43" s="90" t="s">
        <v>480</v>
      </c>
      <c r="B43" s="119" t="str">
        <f>EUconst_tCO2&amp;" / "&amp;EUconst_Year</f>
        <v>t CO2 / year</v>
      </c>
    </row>
    <row r="44" spans="1:2" ht="12.75">
      <c r="A44" s="90" t="s">
        <v>481</v>
      </c>
      <c r="B44" s="119" t="str">
        <f>EUconst_tCO2&amp;" / "&amp;EUconst_t</f>
        <v>t CO2 / t</v>
      </c>
    </row>
    <row r="45" spans="1:2" ht="12.75">
      <c r="A45" s="90" t="s">
        <v>483</v>
      </c>
      <c r="B45" s="119" t="str">
        <f>EUconst_tN2O&amp;" / "&amp;EUconst_Year</f>
        <v>t N2O / year</v>
      </c>
    </row>
    <row r="46" spans="1:2" ht="12.75">
      <c r="A46" s="90" t="s">
        <v>484</v>
      </c>
      <c r="B46" s="119" t="s">
        <v>221</v>
      </c>
    </row>
    <row r="47" spans="1:2" ht="12.75">
      <c r="A47" s="90" t="s">
        <v>485</v>
      </c>
      <c r="B47" s="119" t="str">
        <f>EUconst_tCO2e&amp;"/"&amp;EUconst_Year</f>
        <v>t CO2e/year</v>
      </c>
    </row>
    <row r="48" spans="1:2" ht="12.75">
      <c r="A48" s="90" t="s">
        <v>486</v>
      </c>
      <c r="B48" s="119" t="s">
        <v>976</v>
      </c>
    </row>
    <row r="49" spans="1:2" ht="12.75">
      <c r="A49" s="90" t="s">
        <v>487</v>
      </c>
      <c r="B49" s="119" t="s">
        <v>977</v>
      </c>
    </row>
    <row r="50" spans="1:2" ht="12.75">
      <c r="A50" s="90" t="s">
        <v>488</v>
      </c>
      <c r="B50" s="119" t="s">
        <v>979</v>
      </c>
    </row>
    <row r="51" spans="1:2" ht="12.75">
      <c r="A51" s="90" t="s">
        <v>489</v>
      </c>
      <c r="B51" s="119" t="s">
        <v>980</v>
      </c>
    </row>
    <row r="52" spans="1:2" ht="12.75">
      <c r="A52" s="90" t="s">
        <v>490</v>
      </c>
      <c r="B52" s="119" t="s">
        <v>981</v>
      </c>
    </row>
    <row r="53" spans="1:2" ht="12.75">
      <c r="A53" s="90" t="s">
        <v>491</v>
      </c>
      <c r="B53" s="119" t="s">
        <v>215</v>
      </c>
    </row>
    <row r="54" spans="1:2" ht="12.75">
      <c r="A54" s="90" t="s">
        <v>492</v>
      </c>
      <c r="B54" s="119" t="str">
        <f>EUconst_tCO2e&amp;"/"&amp;EUconst_t</f>
        <v>t CO2e/t</v>
      </c>
    </row>
    <row r="55" spans="1:2" ht="12.75">
      <c r="A55" s="90" t="s">
        <v>404</v>
      </c>
      <c r="B55" s="119" t="str">
        <f>Translations!$B$19</f>
        <v>or</v>
      </c>
    </row>
    <row r="56" spans="1:3" ht="12.75">
      <c r="A56" s="90" t="s">
        <v>493</v>
      </c>
      <c r="B56" s="119" t="str">
        <f>"% "&amp;EUconst_Or&amp;" "&amp;EUconst_TJ</f>
        <v>% or TJ</v>
      </c>
      <c r="C56" s="380" t="s">
        <v>1</v>
      </c>
    </row>
    <row r="57" spans="1:3" ht="12.75">
      <c r="A57" s="90" t="s">
        <v>1248</v>
      </c>
      <c r="B57" s="119" t="str">
        <f>"% "&amp;EUconst_Or&amp;" "&amp;EUconst_MWh</f>
        <v>% or MWh</v>
      </c>
      <c r="C57" s="380" t="s">
        <v>1</v>
      </c>
    </row>
    <row r="58" spans="1:3" ht="12.75">
      <c r="A58" s="90" t="s">
        <v>1250</v>
      </c>
      <c r="B58" s="119" t="str">
        <f>"% "&amp;EUconst_Or&amp;" "&amp;EUconst_tCO2e</f>
        <v>% or t CO2e</v>
      </c>
      <c r="C58" s="380" t="s">
        <v>1</v>
      </c>
    </row>
    <row r="59" spans="1:5" ht="12.75">
      <c r="A59" s="371" t="s">
        <v>1496</v>
      </c>
      <c r="B59" s="382" t="str">
        <f>Translations!$B$1437</f>
        <v>Significant capacity extensions (Article 20 of the CIMs) and/or reductions (Article 21 of the CIMs)</v>
      </c>
      <c r="C59" s="382" t="str">
        <f>Translations!$B$1438</f>
        <v>Cessation of operations of the installation as a whole (Article 22 of the CIMs)</v>
      </c>
      <c r="D59" s="382" t="str">
        <f>Translations!$B$1439</f>
        <v>Partial cessations of operations and/or recovery from partial cessations (Article 23 of the CIMs)</v>
      </c>
      <c r="E59" s="380" t="s">
        <v>950</v>
      </c>
    </row>
    <row r="60" spans="1:5" ht="12.75">
      <c r="A60" s="371" t="s">
        <v>756</v>
      </c>
      <c r="B60" s="370" t="str">
        <f>Translations!$B$1440</f>
        <v>The installation is a greenfield and applies for allocation as a new entrant in accordance with Article 17 of the CIMs.</v>
      </c>
      <c r="C60" s="369" t="s">
        <v>950</v>
      </c>
      <c r="D60" s="434"/>
      <c r="E60" s="380"/>
    </row>
    <row r="61" spans="1:7" ht="12.75">
      <c r="A61" s="371" t="s">
        <v>961</v>
      </c>
      <c r="B61" s="382" t="str">
        <f>Translations!$B$1441</f>
        <v>first sub-installation of a greenfield plant</v>
      </c>
      <c r="C61" s="382" t="str">
        <f>Translations!$B$1442</f>
        <v>significant capacity extension</v>
      </c>
      <c r="D61" s="382" t="str">
        <f>Translations!$B$1443</f>
        <v>significant capacity reduction</v>
      </c>
      <c r="E61" s="382" t="str">
        <f>Translations!$B$1444</f>
        <v>partial cessation</v>
      </c>
      <c r="F61" s="382" t="str">
        <f>Translations!$B$1445</f>
        <v>recovery after partial cessation</v>
      </c>
      <c r="G61" s="380" t="s">
        <v>950</v>
      </c>
    </row>
    <row r="62" spans="1:8" ht="12.75">
      <c r="A62" s="371" t="s">
        <v>12</v>
      </c>
      <c r="B62" s="382" t="str">
        <f>B61</f>
        <v>first sub-installation of a greenfield plant</v>
      </c>
      <c r="C62" s="382" t="str">
        <f>C61</f>
        <v>significant capacity extension</v>
      </c>
      <c r="D62" s="382" t="str">
        <f>D61</f>
        <v>significant capacity reduction</v>
      </c>
      <c r="E62" s="382" t="str">
        <f>E61</f>
        <v>partial cessation</v>
      </c>
      <c r="F62" s="382" t="str">
        <f>F61</f>
        <v>recovery after partial cessation</v>
      </c>
      <c r="G62" s="382" t="str">
        <f>Translations!$B$1446</f>
        <v>none</v>
      </c>
      <c r="H62" s="380" t="s">
        <v>950</v>
      </c>
    </row>
    <row r="63" spans="1:8" ht="12.75">
      <c r="A63" s="371" t="s">
        <v>43</v>
      </c>
      <c r="B63" s="382" t="str">
        <f>C62</f>
        <v>significant capacity extension</v>
      </c>
      <c r="C63" s="382" t="str">
        <f>D62</f>
        <v>significant capacity reduction</v>
      </c>
      <c r="D63" s="382" t="str">
        <f>E62</f>
        <v>partial cessation</v>
      </c>
      <c r="E63" s="382" t="str">
        <f>F62</f>
        <v>recovery after partial cessation</v>
      </c>
      <c r="F63" s="380" t="s">
        <v>950</v>
      </c>
      <c r="G63" s="380"/>
      <c r="H63" s="380"/>
    </row>
    <row r="64" spans="1:8" ht="12.75">
      <c r="A64" s="371" t="s">
        <v>40</v>
      </c>
      <c r="B64" s="382" t="str">
        <f>Translations!$B$1005</f>
        <v>Private households</v>
      </c>
      <c r="C64" s="382" t="str">
        <f>Translations!$B$1447</f>
        <v>Phase before start</v>
      </c>
      <c r="D64" s="380" t="s">
        <v>950</v>
      </c>
      <c r="H64" s="380"/>
    </row>
    <row r="65" spans="1:8" ht="12.75">
      <c r="A65" s="371" t="s">
        <v>74</v>
      </c>
      <c r="B65" s="382" t="str">
        <f>Translations!$B$1448</f>
        <v>Start of normal operation (Article 3(n) of the CIMs)</v>
      </c>
      <c r="C65" s="382" t="str">
        <f>Translations!$B$1449</f>
        <v>Start of changed operation (Article 3(o) of the CIMs)</v>
      </c>
      <c r="D65" s="380" t="s">
        <v>950</v>
      </c>
      <c r="H65" s="380"/>
    </row>
    <row r="66" spans="1:8" ht="12.75">
      <c r="A66" s="371" t="s">
        <v>1128</v>
      </c>
      <c r="B66" s="382" t="str">
        <f>Translations!$B$1450</f>
        <v>The 2 highest 30-day activity levels</v>
      </c>
      <c r="C66" s="382" t="str">
        <f>Translations!$B$1451</f>
        <v>The 2 highest calendar month activity levels </v>
      </c>
      <c r="D66" s="380" t="s">
        <v>950</v>
      </c>
      <c r="H66" s="380"/>
    </row>
    <row r="67" spans="1:8" ht="12.75">
      <c r="A67" s="90" t="s">
        <v>746</v>
      </c>
      <c r="B67" s="119" t="str">
        <f>Translations!B20</f>
        <v>Installation covered by ETS</v>
      </c>
      <c r="C67" s="119" t="str">
        <f>Translations!B21</f>
        <v>Installation outside ETS</v>
      </c>
      <c r="D67" s="119" t="str">
        <f>Translations!B22</f>
        <v>Installation producing Nitric Acid</v>
      </c>
      <c r="E67" s="119" t="str">
        <f>Translations!B23</f>
        <v>Heat distribution network</v>
      </c>
      <c r="F67" s="90"/>
      <c r="G67" s="90"/>
      <c r="H67" s="90"/>
    </row>
    <row r="68" spans="1:7" ht="12.75">
      <c r="A68" s="90" t="s">
        <v>747</v>
      </c>
      <c r="B68" s="119" t="str">
        <f>Translations!B24</f>
        <v>Measurable heat</v>
      </c>
      <c r="C68" s="119" t="str">
        <f>Translations!B25</f>
        <v>Waste gas</v>
      </c>
      <c r="D68" s="119" t="str">
        <f>Translations!B26</f>
        <v>transferred CO2 (CCS)</v>
      </c>
      <c r="E68" s="90"/>
      <c r="F68" s="90"/>
      <c r="G68" s="90"/>
    </row>
    <row r="69" spans="1:7" ht="12.75">
      <c r="A69" s="90" t="s">
        <v>599</v>
      </c>
      <c r="B69" s="119" t="str">
        <f>Translations!B27</f>
        <v>Heat</v>
      </c>
      <c r="C69" s="119" t="str">
        <f>Translations!B28</f>
        <v>Waste gas</v>
      </c>
      <c r="D69" s="119" t="s">
        <v>601</v>
      </c>
      <c r="E69" s="90"/>
      <c r="F69" s="90"/>
      <c r="G69" s="90"/>
    </row>
    <row r="70" spans="1:7" ht="12.75">
      <c r="A70" s="90" t="s">
        <v>595</v>
      </c>
      <c r="B70" s="4" t="str">
        <f>Translations!B29</f>
        <v>Import</v>
      </c>
      <c r="C70" s="4" t="str">
        <f>Translations!B30</f>
        <v>Export</v>
      </c>
      <c r="D70" s="90"/>
      <c r="E70" s="90"/>
      <c r="F70" s="90"/>
      <c r="G70" s="90"/>
    </row>
    <row r="71" spans="1:7" ht="12.75">
      <c r="A71" s="90" t="s">
        <v>1106</v>
      </c>
      <c r="B71" s="119" t="str">
        <f>Translations!$B$31</f>
        <v>Within installation</v>
      </c>
      <c r="C71" s="90"/>
      <c r="D71" s="90"/>
      <c r="E71" s="90"/>
      <c r="F71" s="90"/>
      <c r="G71" s="90"/>
    </row>
    <row r="72" spans="1:7" ht="12.75">
      <c r="A72" s="90" t="s">
        <v>1109</v>
      </c>
      <c r="B72" s="119" t="str">
        <f>Translations!B32</f>
        <v>Production of goods</v>
      </c>
      <c r="C72" s="119" t="str">
        <f>Translations!B33</f>
        <v>mechanical energy</v>
      </c>
      <c r="D72" s="119" t="str">
        <f>Translations!B34</f>
        <v>heating</v>
      </c>
      <c r="E72" s="119" t="str">
        <f>Translations!B35</f>
        <v>cooling</v>
      </c>
      <c r="F72" s="119" t="str">
        <f>Translations!B36</f>
        <v>unknown</v>
      </c>
      <c r="G72" s="90"/>
    </row>
    <row r="73" spans="1:6" ht="12.75">
      <c r="A73" s="90" t="s">
        <v>579</v>
      </c>
      <c r="B73" s="119" t="str">
        <f>Translations!B37</f>
        <v>Production of goods</v>
      </c>
      <c r="C73" s="119" t="str">
        <f>Translations!B38</f>
        <v>mechanical energy</v>
      </c>
      <c r="D73" s="119" t="str">
        <f>Translations!B39</f>
        <v>heating</v>
      </c>
      <c r="E73" s="119" t="str">
        <f>Translations!B40</f>
        <v>cooling</v>
      </c>
      <c r="F73" s="90"/>
    </row>
    <row r="74" spans="1:10" ht="12.75">
      <c r="A74" s="90" t="s">
        <v>262</v>
      </c>
      <c r="B74" s="4" t="str">
        <f>Translations!$B$469</f>
        <v>N2O</v>
      </c>
      <c r="C74" s="4" t="s">
        <v>264</v>
      </c>
      <c r="D74" s="119" t="str">
        <f>Translations!B41</f>
        <v>CO2 (wastegas corrected)</v>
      </c>
      <c r="E74" s="119" t="str">
        <f>Translations!B42</f>
        <v>reduction of metals compounds</v>
      </c>
      <c r="F74" s="119" t="str">
        <f>Translations!B43</f>
        <v>removal of impurities</v>
      </c>
      <c r="G74" s="119" t="str">
        <f>Translations!B44</f>
        <v>decomposition of carbonates</v>
      </c>
      <c r="H74" s="119" t="str">
        <f>Translations!B45</f>
        <v>chemical synthesis</v>
      </c>
      <c r="I74" s="119" t="str">
        <f>Translations!B46</f>
        <v>carbon containing materials</v>
      </c>
      <c r="J74" s="119" t="str">
        <f>Translations!B47</f>
        <v>reduction of metalloid oxides and non-metal oxides</v>
      </c>
    </row>
    <row r="75" spans="1:7" ht="12.75">
      <c r="A75" s="90" t="s">
        <v>868</v>
      </c>
      <c r="B75" s="4">
        <f>H302</f>
        <v>62.3</v>
      </c>
      <c r="C75" s="3"/>
      <c r="D75" s="90"/>
      <c r="E75" s="90"/>
      <c r="F75" s="90"/>
      <c r="G75" s="90"/>
    </row>
    <row r="76" spans="1:7" ht="12.75">
      <c r="A76" s="90" t="s">
        <v>869</v>
      </c>
      <c r="B76" s="4">
        <v>0.465</v>
      </c>
      <c r="C76" s="3"/>
      <c r="D76" s="90"/>
      <c r="E76" s="90"/>
      <c r="F76" s="90"/>
      <c r="G76" s="90"/>
    </row>
    <row r="77" spans="1:7" ht="12.75">
      <c r="A77" s="90" t="s">
        <v>229</v>
      </c>
      <c r="B77" s="4">
        <f>H304</f>
        <v>56.1</v>
      </c>
      <c r="C77" s="3"/>
      <c r="D77" s="90"/>
      <c r="E77" s="90"/>
      <c r="F77" s="90"/>
      <c r="G77" s="90"/>
    </row>
    <row r="78" spans="1:7" ht="12.75">
      <c r="A78" s="90" t="s">
        <v>1285</v>
      </c>
      <c r="B78" s="4" t="str">
        <f>Translations!B48</f>
        <v>relevant</v>
      </c>
      <c r="C78" s="3"/>
      <c r="D78" s="90"/>
      <c r="E78" s="90"/>
      <c r="F78" s="90"/>
      <c r="G78" s="90"/>
    </row>
    <row r="79" spans="1:7" ht="12.75">
      <c r="A79" s="90" t="s">
        <v>1286</v>
      </c>
      <c r="B79" s="4" t="str">
        <f>Translations!B49</f>
        <v>not relevant</v>
      </c>
      <c r="C79" s="3"/>
      <c r="D79" s="90"/>
      <c r="E79" s="90"/>
      <c r="F79" s="90"/>
      <c r="G79" s="90"/>
    </row>
    <row r="80" spans="1:7" ht="12.75">
      <c r="A80" s="90" t="s">
        <v>1706</v>
      </c>
      <c r="B80" s="4" t="str">
        <f>EUconst_Relevant</f>
        <v>relevant</v>
      </c>
      <c r="C80" s="4" t="str">
        <f>EUconst_NotRelevant</f>
        <v>not relevant</v>
      </c>
      <c r="D80" s="90"/>
      <c r="E80" s="90"/>
      <c r="F80" s="90"/>
      <c r="G80" s="90"/>
    </row>
    <row r="81" spans="1:7" ht="12.75">
      <c r="A81" s="90" t="s">
        <v>1709</v>
      </c>
      <c r="B81" s="4" t="str">
        <f>Translations!B50</f>
        <v>Carbon leakage</v>
      </c>
      <c r="C81" s="4" t="str">
        <f>Translations!B51</f>
        <v>not exposed to carbon leakage</v>
      </c>
      <c r="D81" s="90"/>
      <c r="E81" s="90"/>
      <c r="F81" s="90"/>
      <c r="G81" s="90"/>
    </row>
    <row r="82" spans="1:7" ht="12.75">
      <c r="A82" s="90" t="s">
        <v>1596</v>
      </c>
      <c r="B82" s="4" t="str">
        <f>"1000Nm3"</f>
        <v>1000Nm3</v>
      </c>
      <c r="C82" s="3"/>
      <c r="D82" s="90"/>
      <c r="E82" s="90"/>
      <c r="F82" s="90"/>
      <c r="G82" s="90"/>
    </row>
    <row r="83" spans="1:7" ht="12.75">
      <c r="A83" s="90" t="s">
        <v>1597</v>
      </c>
      <c r="B83" s="4" t="str">
        <f>EUconst_t</f>
        <v>t</v>
      </c>
      <c r="C83" s="4" t="str">
        <f>B82</f>
        <v>1000Nm3</v>
      </c>
      <c r="D83" s="90"/>
      <c r="E83" s="90"/>
      <c r="F83" s="90"/>
      <c r="G83" s="90"/>
    </row>
    <row r="84" spans="1:7" ht="12.75">
      <c r="A84" s="90" t="s">
        <v>1600</v>
      </c>
      <c r="B84" s="4" t="str">
        <f>EUconst_GJpt</f>
        <v>GJ / t</v>
      </c>
      <c r="C84" s="4" t="s">
        <v>1601</v>
      </c>
      <c r="D84" s="90"/>
      <c r="E84" s="90"/>
      <c r="F84" s="90"/>
      <c r="G84" s="90"/>
    </row>
    <row r="85" spans="1:8" ht="12.75">
      <c r="A85" s="90" t="s">
        <v>705</v>
      </c>
      <c r="B85" s="4" t="str">
        <f>EUconst_tCO2pTJ</f>
        <v>t CO2 / TJ</v>
      </c>
      <c r="C85" s="4" t="str">
        <f>B86</f>
        <v>t CO2/1000Nm3</v>
      </c>
      <c r="D85" s="119" t="str">
        <f>EUconst_tCO2pt</f>
        <v>t CO2 / t</v>
      </c>
      <c r="G85" s="90"/>
      <c r="H85" s="90"/>
    </row>
    <row r="86" spans="1:8" ht="12.75">
      <c r="A86" s="90" t="s">
        <v>1073</v>
      </c>
      <c r="B86" s="4" t="str">
        <f>EUconst_tCO2&amp;"/1000Nm3"</f>
        <v>t CO2/1000Nm3</v>
      </c>
      <c r="C86" s="4"/>
      <c r="D86" s="119"/>
      <c r="G86" s="90"/>
      <c r="H86" s="90"/>
    </row>
    <row r="87" spans="1:7" ht="12.75">
      <c r="A87" s="90" t="s">
        <v>1602</v>
      </c>
      <c r="B87" s="4" t="str">
        <f>EUconst_GJ&amp;" / "&amp;EUconst_Unit</f>
        <v>GJ / Unit</v>
      </c>
      <c r="C87" s="3"/>
      <c r="D87" s="90"/>
      <c r="E87" s="90"/>
      <c r="F87" s="90"/>
      <c r="G87" s="90"/>
    </row>
    <row r="88" spans="1:7" ht="12.75">
      <c r="A88" s="90" t="s">
        <v>188</v>
      </c>
      <c r="B88" s="4" t="str">
        <f>"MNm3/"&amp;EUconst_Year</f>
        <v>MNm3/year</v>
      </c>
      <c r="C88" s="3"/>
      <c r="D88" s="90"/>
      <c r="E88" s="90"/>
      <c r="F88" s="90"/>
      <c r="G88" s="90"/>
    </row>
    <row r="89" spans="1:7" ht="12.75">
      <c r="A89" s="90" t="s">
        <v>1830</v>
      </c>
      <c r="B89" s="370" t="s">
        <v>1907</v>
      </c>
      <c r="C89" s="3"/>
      <c r="D89" s="90"/>
      <c r="E89" s="90"/>
      <c r="F89" s="90"/>
      <c r="G89" s="90"/>
    </row>
    <row r="90" spans="1:7" ht="12.75">
      <c r="A90" s="90" t="s">
        <v>1212</v>
      </c>
      <c r="B90" s="4" t="str">
        <f>Translations!$B$52</f>
        <v>allowances</v>
      </c>
      <c r="C90" s="3"/>
      <c r="D90" s="90"/>
      <c r="E90" s="90"/>
      <c r="F90" s="90"/>
      <c r="G90" s="90"/>
    </row>
    <row r="91" spans="1:6" ht="12.75">
      <c r="A91" s="90" t="s">
        <v>721</v>
      </c>
      <c r="B91" s="4" t="str">
        <f>Translations!$B$1011</f>
        <v>The operator of this installation confirms that the installation is not eligible for free allocation under Article 10a of the EU ETS Directive.</v>
      </c>
      <c r="C91" s="90"/>
      <c r="D91" s="90"/>
      <c r="E91" s="90"/>
      <c r="F91" s="90"/>
    </row>
    <row r="92" spans="1:6" ht="12.75">
      <c r="A92" s="90" t="s">
        <v>723</v>
      </c>
      <c r="B92" s="4" t="str">
        <f>Translations!$B$1012</f>
        <v>The operator of this installation confirms that an application for a change of the amount of free allocation under Article 10a of the EU ETS Directive is hereby filed.</v>
      </c>
      <c r="C92" s="90"/>
      <c r="D92" s="90"/>
      <c r="E92" s="90"/>
      <c r="F92" s="90"/>
    </row>
    <row r="93" spans="1:6" ht="12.75">
      <c r="A93" s="90" t="s">
        <v>974</v>
      </c>
      <c r="B93" s="4" t="str">
        <f>Translations!B53</f>
        <v>The operator of this installation confirms that this report may be used by the competent authority and the European Commission.</v>
      </c>
      <c r="C93" s="90"/>
      <c r="D93" s="90"/>
      <c r="E93" s="90"/>
      <c r="F93" s="90"/>
    </row>
    <row r="94" spans="1:6" ht="12.75">
      <c r="A94" s="371" t="s">
        <v>666</v>
      </c>
      <c r="B94" s="370" t="str">
        <f>Translations!$B$1452</f>
        <v>The operator of this installation confirms that the installation has ceased operations.</v>
      </c>
      <c r="C94" s="369" t="s">
        <v>950</v>
      </c>
      <c r="D94" s="90"/>
      <c r="E94" s="90"/>
      <c r="F94" s="90"/>
    </row>
    <row r="95" spans="1:7" ht="12.75">
      <c r="A95" s="90" t="s">
        <v>97</v>
      </c>
      <c r="B95" s="4" t="s">
        <v>94</v>
      </c>
      <c r="C95" s="3"/>
      <c r="D95" s="90"/>
      <c r="E95" s="90"/>
      <c r="F95" s="90"/>
      <c r="G95" s="90"/>
    </row>
    <row r="96" spans="1:7" ht="12.75">
      <c r="A96" s="90" t="s">
        <v>98</v>
      </c>
      <c r="B96" s="4" t="s">
        <v>95</v>
      </c>
      <c r="C96" s="3"/>
      <c r="D96" s="90"/>
      <c r="E96" s="90"/>
      <c r="F96" s="90"/>
      <c r="G96" s="90"/>
    </row>
    <row r="97" spans="1:7" ht="12.75">
      <c r="A97" s="90" t="s">
        <v>99</v>
      </c>
      <c r="B97" s="4" t="s">
        <v>96</v>
      </c>
      <c r="C97" s="3"/>
      <c r="D97" s="90"/>
      <c r="E97" s="90"/>
      <c r="F97" s="90"/>
      <c r="G97" s="90"/>
    </row>
    <row r="98" spans="1:7" ht="12.75">
      <c r="A98" s="90" t="s">
        <v>100</v>
      </c>
      <c r="B98" s="4" t="s">
        <v>102</v>
      </c>
      <c r="C98" s="3"/>
      <c r="D98" s="90"/>
      <c r="E98" s="90"/>
      <c r="F98" s="90"/>
      <c r="G98" s="90"/>
    </row>
    <row r="99" spans="1:7" ht="12.75">
      <c r="A99" s="90" t="s">
        <v>101</v>
      </c>
      <c r="B99" s="4" t="s">
        <v>103</v>
      </c>
      <c r="C99" s="3"/>
      <c r="D99" s="90"/>
      <c r="E99" s="90"/>
      <c r="F99" s="90"/>
      <c r="G99" s="90"/>
    </row>
    <row r="100" spans="1:7" ht="12.75">
      <c r="A100" s="371" t="s">
        <v>5</v>
      </c>
      <c r="B100" s="370" t="s">
        <v>6</v>
      </c>
      <c r="C100" s="369" t="s">
        <v>950</v>
      </c>
      <c r="D100" s="90"/>
      <c r="E100" s="90"/>
      <c r="F100" s="90"/>
      <c r="G100" s="90"/>
    </row>
    <row r="101" spans="1:7" ht="12.75">
      <c r="A101" s="371" t="s">
        <v>285</v>
      </c>
      <c r="B101" s="370" t="s">
        <v>286</v>
      </c>
      <c r="C101" s="369" t="s">
        <v>950</v>
      </c>
      <c r="D101" s="90"/>
      <c r="E101" s="90"/>
      <c r="F101" s="90"/>
      <c r="G101" s="90"/>
    </row>
    <row r="102" spans="1:7" ht="12.75">
      <c r="A102" s="371" t="s">
        <v>13</v>
      </c>
      <c r="B102" s="370" t="s">
        <v>14</v>
      </c>
      <c r="C102" s="369" t="s">
        <v>950</v>
      </c>
      <c r="D102" s="90"/>
      <c r="E102" s="90"/>
      <c r="F102" s="90"/>
      <c r="G102" s="90"/>
    </row>
    <row r="103" spans="1:7" ht="12.75">
      <c r="A103" s="371" t="s">
        <v>941</v>
      </c>
      <c r="B103" s="370" t="s">
        <v>940</v>
      </c>
      <c r="C103" s="369" t="s">
        <v>950</v>
      </c>
      <c r="D103" s="90"/>
      <c r="E103" s="90"/>
      <c r="F103" s="90"/>
      <c r="G103" s="90"/>
    </row>
    <row r="104" spans="1:7" ht="12.75">
      <c r="A104" s="371" t="s">
        <v>71</v>
      </c>
      <c r="B104" s="370" t="s">
        <v>72</v>
      </c>
      <c r="C104" s="369" t="s">
        <v>950</v>
      </c>
      <c r="D104" s="90"/>
      <c r="E104" s="90"/>
      <c r="F104" s="90"/>
      <c r="G104" s="90"/>
    </row>
    <row r="105" spans="1:7" ht="12.75">
      <c r="A105" s="371" t="s">
        <v>613</v>
      </c>
      <c r="B105" s="370" t="s">
        <v>615</v>
      </c>
      <c r="C105" s="369" t="s">
        <v>950</v>
      </c>
      <c r="D105" s="90"/>
      <c r="E105" s="90"/>
      <c r="F105" s="90"/>
      <c r="G105" s="90"/>
    </row>
    <row r="106" spans="1:7" ht="12.75">
      <c r="A106" s="371" t="s">
        <v>614</v>
      </c>
      <c r="B106" s="370" t="s">
        <v>616</v>
      </c>
      <c r="C106" s="369" t="s">
        <v>950</v>
      </c>
      <c r="D106" s="90"/>
      <c r="E106" s="90"/>
      <c r="F106" s="90"/>
      <c r="G106" s="90"/>
    </row>
    <row r="107" spans="1:7" ht="12.75">
      <c r="A107" s="371" t="s">
        <v>936</v>
      </c>
      <c r="B107" s="370" t="s">
        <v>938</v>
      </c>
      <c r="C107" s="369" t="s">
        <v>950</v>
      </c>
      <c r="D107" s="90"/>
      <c r="E107" s="90"/>
      <c r="F107" s="90"/>
      <c r="G107" s="90"/>
    </row>
    <row r="108" spans="1:7" ht="12.75">
      <c r="A108" s="371" t="s">
        <v>1011</v>
      </c>
      <c r="B108" s="370" t="s">
        <v>1037</v>
      </c>
      <c r="C108" s="369" t="s">
        <v>950</v>
      </c>
      <c r="D108" s="90"/>
      <c r="E108" s="90"/>
      <c r="F108" s="90"/>
      <c r="G108" s="90"/>
    </row>
    <row r="109" spans="1:7" ht="12.75">
      <c r="A109" s="371" t="s">
        <v>1862</v>
      </c>
      <c r="B109" s="370" t="s">
        <v>1863</v>
      </c>
      <c r="C109" s="369" t="s">
        <v>950</v>
      </c>
      <c r="D109" s="90"/>
      <c r="E109" s="90"/>
      <c r="F109" s="90"/>
      <c r="G109" s="90"/>
    </row>
    <row r="110" spans="1:7" ht="12.75">
      <c r="A110" s="371" t="s">
        <v>937</v>
      </c>
      <c r="B110" s="370" t="s">
        <v>939</v>
      </c>
      <c r="C110" s="369" t="s">
        <v>950</v>
      </c>
      <c r="D110" s="90"/>
      <c r="E110" s="90"/>
      <c r="F110" s="90"/>
      <c r="G110" s="90"/>
    </row>
    <row r="111" spans="1:7" ht="12.75">
      <c r="A111" s="371" t="s">
        <v>34</v>
      </c>
      <c r="B111" s="370" t="s">
        <v>35</v>
      </c>
      <c r="C111" s="369" t="s">
        <v>950</v>
      </c>
      <c r="D111" s="90"/>
      <c r="E111" s="90"/>
      <c r="F111" s="90"/>
      <c r="G111" s="90"/>
    </row>
    <row r="112" spans="1:7" ht="12.75">
      <c r="A112" s="371" t="s">
        <v>36</v>
      </c>
      <c r="B112" s="370" t="s">
        <v>37</v>
      </c>
      <c r="C112" s="369" t="s">
        <v>950</v>
      </c>
      <c r="D112" s="90"/>
      <c r="E112" s="90"/>
      <c r="F112" s="90"/>
      <c r="G112" s="90"/>
    </row>
    <row r="113" spans="1:7" ht="12.75">
      <c r="A113" s="371" t="s">
        <v>49</v>
      </c>
      <c r="B113" s="370" t="s">
        <v>50</v>
      </c>
      <c r="C113" s="369" t="s">
        <v>950</v>
      </c>
      <c r="D113" s="90"/>
      <c r="E113" s="90"/>
      <c r="F113" s="90"/>
      <c r="G113" s="90"/>
    </row>
    <row r="114" spans="1:7" ht="12.75">
      <c r="A114" s="371" t="s">
        <v>1477</v>
      </c>
      <c r="B114" s="370" t="s">
        <v>1478</v>
      </c>
      <c r="C114" s="369" t="s">
        <v>950</v>
      </c>
      <c r="D114" s="90"/>
      <c r="E114" s="90"/>
      <c r="F114" s="90"/>
      <c r="G114" s="90"/>
    </row>
    <row r="115" spans="1:7" ht="12.75">
      <c r="A115" s="371" t="s">
        <v>944</v>
      </c>
      <c r="B115" s="370" t="s">
        <v>945</v>
      </c>
      <c r="C115" s="369" t="s">
        <v>950</v>
      </c>
      <c r="D115" s="90"/>
      <c r="E115" s="90"/>
      <c r="F115" s="90"/>
      <c r="G115" s="90"/>
    </row>
    <row r="116" spans="1:7" ht="12.75">
      <c r="A116" s="371" t="s">
        <v>935</v>
      </c>
      <c r="B116" s="370" t="s">
        <v>934</v>
      </c>
      <c r="C116" s="369" t="s">
        <v>950</v>
      </c>
      <c r="D116" s="90"/>
      <c r="E116" s="90"/>
      <c r="F116" s="90"/>
      <c r="G116" s="90"/>
    </row>
    <row r="117" spans="1:7" ht="12.75">
      <c r="A117" s="371" t="s">
        <v>22</v>
      </c>
      <c r="B117" s="370" t="s">
        <v>23</v>
      </c>
      <c r="C117" s="369" t="s">
        <v>950</v>
      </c>
      <c r="D117" s="90"/>
      <c r="E117" s="90"/>
      <c r="F117" s="90"/>
      <c r="G117" s="90"/>
    </row>
    <row r="118" spans="1:7" ht="12.75">
      <c r="A118" s="371" t="s">
        <v>31</v>
      </c>
      <c r="B118" s="370" t="s">
        <v>32</v>
      </c>
      <c r="C118" s="369" t="s">
        <v>950</v>
      </c>
      <c r="D118" s="90"/>
      <c r="E118" s="90"/>
      <c r="F118" s="90"/>
      <c r="G118" s="90"/>
    </row>
    <row r="119" spans="1:7" ht="12.75">
      <c r="A119" s="371" t="s">
        <v>360</v>
      </c>
      <c r="B119" s="370" t="str">
        <f>Translations!$B$1453</f>
        <v>Criterion fulfilled</v>
      </c>
      <c r="C119" s="369"/>
      <c r="D119" s="90"/>
      <c r="E119" s="90"/>
      <c r="F119" s="90"/>
      <c r="G119" s="90"/>
    </row>
    <row r="120" spans="1:7" ht="12.75">
      <c r="A120" s="90" t="s">
        <v>627</v>
      </c>
      <c r="B120" s="4" t="s">
        <v>628</v>
      </c>
      <c r="C120" s="3"/>
      <c r="D120" s="90"/>
      <c r="E120" s="90"/>
      <c r="F120" s="90"/>
      <c r="G120" s="90"/>
    </row>
    <row r="121" spans="1:7" ht="12.75">
      <c r="A121" s="90" t="s">
        <v>816</v>
      </c>
      <c r="B121" s="4" t="s">
        <v>1574</v>
      </c>
      <c r="C121" s="3"/>
      <c r="D121" s="90"/>
      <c r="E121" s="90"/>
      <c r="F121" s="90"/>
      <c r="G121" s="90"/>
    </row>
    <row r="122" spans="1:7" ht="12.75">
      <c r="A122" s="371" t="s">
        <v>629</v>
      </c>
      <c r="B122" s="4" t="s">
        <v>630</v>
      </c>
      <c r="C122" s="3"/>
      <c r="D122" s="90"/>
      <c r="E122" s="90"/>
      <c r="F122" s="90"/>
      <c r="G122" s="90"/>
    </row>
    <row r="123" spans="1:7" ht="12.75">
      <c r="A123" s="371" t="s">
        <v>9</v>
      </c>
      <c r="B123" s="370" t="s">
        <v>10</v>
      </c>
      <c r="C123" s="369" t="s">
        <v>950</v>
      </c>
      <c r="D123" s="90"/>
      <c r="E123" s="90"/>
      <c r="F123" s="90"/>
      <c r="G123" s="90"/>
    </row>
    <row r="124" spans="1:7" ht="12.75">
      <c r="A124" s="90" t="s">
        <v>1923</v>
      </c>
      <c r="B124" s="4" t="s">
        <v>1922</v>
      </c>
      <c r="C124" s="3"/>
      <c r="D124" s="90"/>
      <c r="E124" s="90"/>
      <c r="F124" s="90"/>
      <c r="G124" s="90"/>
    </row>
    <row r="125" spans="1:7" ht="12.75">
      <c r="A125" s="90" t="s">
        <v>382</v>
      </c>
      <c r="B125" s="4" t="s">
        <v>383</v>
      </c>
      <c r="C125" s="3"/>
      <c r="D125" s="90"/>
      <c r="E125" s="90"/>
      <c r="F125" s="90"/>
      <c r="G125" s="90"/>
    </row>
    <row r="126" spans="1:7" ht="12.75">
      <c r="A126" s="90" t="s">
        <v>384</v>
      </c>
      <c r="B126" s="4" t="s">
        <v>385</v>
      </c>
      <c r="C126" s="3"/>
      <c r="D126" s="90"/>
      <c r="E126" s="90"/>
      <c r="F126" s="90"/>
      <c r="G126" s="90"/>
    </row>
    <row r="127" spans="1:7" ht="12.75">
      <c r="A127" s="90" t="s">
        <v>389</v>
      </c>
      <c r="B127" s="4" t="s">
        <v>390</v>
      </c>
      <c r="C127" s="3"/>
      <c r="D127" s="90"/>
      <c r="E127" s="90"/>
      <c r="F127" s="90"/>
      <c r="G127" s="90"/>
    </row>
    <row r="128" spans="1:7" ht="12.75">
      <c r="A128" s="90" t="s">
        <v>534</v>
      </c>
      <c r="B128" s="4" t="s">
        <v>532</v>
      </c>
      <c r="C128" s="3"/>
      <c r="D128" s="90"/>
      <c r="E128" s="90"/>
      <c r="F128" s="90"/>
      <c r="G128" s="90"/>
    </row>
    <row r="129" spans="1:7" ht="12.75">
      <c r="A129" s="90" t="s">
        <v>535</v>
      </c>
      <c r="B129" s="4" t="s">
        <v>533</v>
      </c>
      <c r="C129" s="3"/>
      <c r="D129" s="90"/>
      <c r="E129" s="90"/>
      <c r="F129" s="90"/>
      <c r="G129" s="90"/>
    </row>
    <row r="130" spans="1:7" ht="12.75">
      <c r="A130" s="90" t="s">
        <v>1268</v>
      </c>
      <c r="B130" s="4" t="s">
        <v>1269</v>
      </c>
      <c r="C130" s="3"/>
      <c r="D130" s="90"/>
      <c r="E130" s="90"/>
      <c r="F130" s="90"/>
      <c r="G130" s="90"/>
    </row>
    <row r="131" spans="1:7" ht="12.75">
      <c r="A131" s="90" t="s">
        <v>780</v>
      </c>
      <c r="B131" s="4" t="s">
        <v>779</v>
      </c>
      <c r="C131" s="3"/>
      <c r="D131" s="90"/>
      <c r="E131" s="90"/>
      <c r="F131" s="90"/>
      <c r="G131" s="90"/>
    </row>
    <row r="132" spans="1:7" ht="12.75">
      <c r="A132" s="90" t="s">
        <v>1616</v>
      </c>
      <c r="B132" s="4" t="s">
        <v>1617</v>
      </c>
      <c r="C132" s="3"/>
      <c r="D132" s="90"/>
      <c r="E132" s="90"/>
      <c r="F132" s="90"/>
      <c r="G132" s="90"/>
    </row>
    <row r="133" spans="1:7" ht="12.75">
      <c r="A133" s="90" t="s">
        <v>1750</v>
      </c>
      <c r="B133" s="4" t="s">
        <v>815</v>
      </c>
      <c r="C133" s="3"/>
      <c r="D133" s="90"/>
      <c r="E133" s="90"/>
      <c r="F133" s="90"/>
      <c r="G133" s="90"/>
    </row>
    <row r="134" spans="1:7" ht="12.75">
      <c r="A134" s="90" t="s">
        <v>781</v>
      </c>
      <c r="B134" s="4" t="s">
        <v>782</v>
      </c>
      <c r="C134" s="3"/>
      <c r="D134" s="90"/>
      <c r="E134" s="90"/>
      <c r="F134" s="90"/>
      <c r="G134" s="90"/>
    </row>
    <row r="135" spans="1:7" ht="12.75">
      <c r="A135" s="90" t="s">
        <v>783</v>
      </c>
      <c r="B135" s="4" t="s">
        <v>784</v>
      </c>
      <c r="C135" s="3"/>
      <c r="D135" s="90"/>
      <c r="E135" s="90"/>
      <c r="F135" s="90"/>
      <c r="G135" s="90"/>
    </row>
    <row r="136" spans="1:7" ht="12.75">
      <c r="A136" s="90" t="s">
        <v>312</v>
      </c>
      <c r="B136" s="4" t="s">
        <v>313</v>
      </c>
      <c r="C136" s="3"/>
      <c r="D136" s="90"/>
      <c r="E136" s="90"/>
      <c r="F136" s="90"/>
      <c r="G136" s="90"/>
    </row>
    <row r="137" spans="1:7" ht="12.75">
      <c r="A137" s="90" t="s">
        <v>1544</v>
      </c>
      <c r="B137" s="4" t="s">
        <v>1545</v>
      </c>
      <c r="C137" s="3"/>
      <c r="D137" s="90"/>
      <c r="E137" s="90"/>
      <c r="F137" s="90"/>
      <c r="G137" s="90"/>
    </row>
    <row r="138" spans="1:7" ht="12.75">
      <c r="A138" s="90" t="s">
        <v>536</v>
      </c>
      <c r="B138" s="4" t="s">
        <v>537</v>
      </c>
      <c r="C138" s="3"/>
      <c r="D138" s="90"/>
      <c r="E138" s="90"/>
      <c r="F138" s="90"/>
      <c r="G138" s="90"/>
    </row>
    <row r="139" spans="1:7" ht="12.75">
      <c r="A139" s="90" t="s">
        <v>314</v>
      </c>
      <c r="B139" s="4" t="s">
        <v>315</v>
      </c>
      <c r="C139" s="3"/>
      <c r="D139" s="90"/>
      <c r="E139" s="90"/>
      <c r="F139" s="90"/>
      <c r="G139" s="90"/>
    </row>
    <row r="140" spans="1:7" ht="12.75">
      <c r="A140" s="90" t="s">
        <v>704</v>
      </c>
      <c r="B140" s="4" t="str">
        <f>Translations!B54</f>
        <v>Method A = Slope method</v>
      </c>
      <c r="C140" s="4" t="str">
        <f>Translations!B55</f>
        <v>Method B = Overvoltage method</v>
      </c>
      <c r="D140" s="90"/>
      <c r="E140" s="90"/>
      <c r="F140" s="90"/>
      <c r="G140" s="90"/>
    </row>
    <row r="141" spans="1:7" ht="12.75">
      <c r="A141" s="90" t="s">
        <v>1769</v>
      </c>
      <c r="B141" s="4" t="str">
        <f>Translations!B56</f>
        <v>Baseline Data</v>
      </c>
      <c r="C141" s="4" t="str">
        <f>Translations!B57</f>
        <v>Fraction of HAL (G.I.2.k)</v>
      </c>
      <c r="D141" s="90"/>
      <c r="E141" s="90"/>
      <c r="F141" s="90"/>
      <c r="G141" s="90"/>
    </row>
    <row r="142" spans="1:7" ht="12.75">
      <c r="A142" s="90" t="s">
        <v>1266</v>
      </c>
      <c r="B142" s="4" t="str">
        <f>Translations!B58</f>
        <v>incomplete!</v>
      </c>
      <c r="C142" s="3"/>
      <c r="D142" s="90"/>
      <c r="E142" s="90"/>
      <c r="F142" s="90"/>
      <c r="G142" s="90"/>
    </row>
    <row r="143" spans="1:7" ht="12.75">
      <c r="A143" s="90" t="s">
        <v>92</v>
      </c>
      <c r="B143" s="4" t="str">
        <f>Translations!B59</f>
        <v>negative!</v>
      </c>
      <c r="C143" s="366" t="s">
        <v>1646</v>
      </c>
      <c r="D143" s="90"/>
      <c r="E143" s="90"/>
      <c r="F143" s="90"/>
      <c r="G143" s="90"/>
    </row>
    <row r="144" spans="1:7" ht="12.75">
      <c r="A144" s="90" t="s">
        <v>1071</v>
      </c>
      <c r="B144" s="4" t="str">
        <f>Translations!B60</f>
        <v>inconsistent!</v>
      </c>
      <c r="C144" s="3"/>
      <c r="D144" s="90"/>
      <c r="E144" s="90"/>
      <c r="F144" s="90"/>
      <c r="G144" s="90"/>
    </row>
    <row r="145" spans="1:2" ht="12.75">
      <c r="A145" s="85" t="s">
        <v>1035</v>
      </c>
      <c r="B145" s="119" t="str">
        <f>Translations!B61</f>
        <v>O.K.</v>
      </c>
    </row>
    <row r="146" spans="1:2" ht="12.75">
      <c r="A146" s="85" t="s">
        <v>371</v>
      </c>
      <c r="B146" s="119" t="str">
        <f>Translations!B62</f>
        <v>Date is missing!</v>
      </c>
    </row>
    <row r="147" spans="1:3" ht="12.75">
      <c r="A147" s="85" t="s">
        <v>639</v>
      </c>
      <c r="B147" s="119" t="str">
        <f>Translations!B63</f>
        <v>Manual input!</v>
      </c>
      <c r="C147" s="366" t="s">
        <v>1646</v>
      </c>
    </row>
    <row r="148" spans="1:2" ht="12.75">
      <c r="A148" s="85" t="s">
        <v>847</v>
      </c>
      <c r="B148" s="119" t="str">
        <f>Translations!B64</f>
        <v>HCUF entry is missing!</v>
      </c>
    </row>
    <row r="149" spans="1:3" ht="12.75">
      <c r="A149" s="389" t="s">
        <v>1630</v>
      </c>
      <c r="B149" s="382" t="str">
        <f>Translations!$B$1454</f>
        <v>RCUF entry is missing!</v>
      </c>
      <c r="C149" s="366" t="s">
        <v>950</v>
      </c>
    </row>
    <row r="150" spans="1:2" ht="12.75">
      <c r="A150" s="85" t="s">
        <v>1756</v>
      </c>
      <c r="B150" s="119" t="str">
        <f>Translations!$B$1455</f>
        <v>0 &lt;= HCUF &lt;=1 !</v>
      </c>
    </row>
    <row r="151" spans="1:2" ht="12.75">
      <c r="A151" s="85" t="s">
        <v>1502</v>
      </c>
      <c r="B151" s="119" t="str">
        <f>Translations!$B$1456</f>
        <v>0 &lt;= RCUF &lt;=1 !</v>
      </c>
    </row>
    <row r="152" spans="1:2" ht="12.75">
      <c r="A152" s="85" t="s">
        <v>638</v>
      </c>
      <c r="B152" s="119" t="str">
        <f>Translations!$B$1457</f>
        <v>0 &lt;= Ratio &lt;=1 !</v>
      </c>
    </row>
    <row r="153" spans="1:2" ht="12.75">
      <c r="A153" s="85" t="s">
        <v>1138</v>
      </c>
      <c r="B153" s="382" t="s">
        <v>1080</v>
      </c>
    </row>
    <row r="154" spans="1:7" ht="12.75">
      <c r="A154" s="90" t="s">
        <v>1947</v>
      </c>
      <c r="B154" s="4" t="str">
        <f>Translations!B65</f>
        <v>households</v>
      </c>
      <c r="C154" s="3"/>
      <c r="D154" s="90"/>
      <c r="E154" s="90"/>
      <c r="F154" s="90"/>
      <c r="G154" s="90"/>
    </row>
    <row r="155" spans="1:7" ht="12.75">
      <c r="A155" s="90" t="s">
        <v>525</v>
      </c>
      <c r="B155" s="4" t="str">
        <f>Translations!B66</f>
        <v>non-ETS measurable heat</v>
      </c>
      <c r="C155" s="3"/>
      <c r="D155" s="90"/>
      <c r="E155" s="90"/>
      <c r="F155" s="90"/>
      <c r="G155" s="90"/>
    </row>
    <row r="156" spans="1:32" ht="12.75">
      <c r="A156" s="90" t="s">
        <v>443</v>
      </c>
      <c r="B156" s="4" t="str">
        <f>Translations!B108</f>
        <v>Austria</v>
      </c>
      <c r="C156" s="4" t="str">
        <f>Translations!B109</f>
        <v>Belgium</v>
      </c>
      <c r="D156" s="119" t="str">
        <f>Translations!B110</f>
        <v>Bulgaria</v>
      </c>
      <c r="E156" s="119" t="str">
        <f>Translations!B1010</f>
        <v>Croatia</v>
      </c>
      <c r="F156" s="119" t="str">
        <f>Translations!B111</f>
        <v>Cyprus</v>
      </c>
      <c r="G156" s="119" t="str">
        <f>Translations!B112</f>
        <v>Czech Republic</v>
      </c>
      <c r="H156" s="119" t="str">
        <f>Translations!B113</f>
        <v>Denmark</v>
      </c>
      <c r="I156" s="119" t="str">
        <f>Translations!B114</f>
        <v>Estonia</v>
      </c>
      <c r="J156" s="119" t="str">
        <f>Translations!B115</f>
        <v>Finland</v>
      </c>
      <c r="K156" s="119" t="str">
        <f>Translations!B116</f>
        <v>France</v>
      </c>
      <c r="L156" s="119" t="str">
        <f>Translations!B117</f>
        <v>Germany</v>
      </c>
      <c r="M156" s="119" t="str">
        <f>Translations!B118</f>
        <v>Greece</v>
      </c>
      <c r="N156" s="119" t="str">
        <f>Translations!B119</f>
        <v>Hungary</v>
      </c>
      <c r="O156" s="119" t="str">
        <f>Translations!B120</f>
        <v>Iceland</v>
      </c>
      <c r="P156" s="119" t="str">
        <f>Translations!B121</f>
        <v>Ireland</v>
      </c>
      <c r="Q156" s="119" t="str">
        <f>Translations!B122</f>
        <v>Italy</v>
      </c>
      <c r="R156" s="119" t="str">
        <f>Translations!B123</f>
        <v>Latvia</v>
      </c>
      <c r="S156" s="119" t="str">
        <f>Translations!B124</f>
        <v>Liechtenstein</v>
      </c>
      <c r="T156" s="119" t="str">
        <f>Translations!B125</f>
        <v>Lithuania</v>
      </c>
      <c r="U156" s="119" t="str">
        <f>Translations!B126</f>
        <v>Luxembourg</v>
      </c>
      <c r="V156" s="119" t="str">
        <f>Translations!B127</f>
        <v>Malta</v>
      </c>
      <c r="W156" s="119" t="str">
        <f>Translations!B128</f>
        <v>Netherlands</v>
      </c>
      <c r="X156" s="119" t="str">
        <f>Translations!B129</f>
        <v>Norway</v>
      </c>
      <c r="Y156" s="119" t="str">
        <f>Translations!B130</f>
        <v>Poland</v>
      </c>
      <c r="Z156" s="119" t="str">
        <f>Translations!B131</f>
        <v>Portugal</v>
      </c>
      <c r="AA156" s="119" t="str">
        <f>Translations!B132</f>
        <v>Romania</v>
      </c>
      <c r="AB156" s="119" t="str">
        <f>Translations!B133</f>
        <v>Slovakia</v>
      </c>
      <c r="AC156" s="119" t="str">
        <f>Translations!B134</f>
        <v>Slovenia</v>
      </c>
      <c r="AD156" s="119" t="str">
        <f>Translations!B135</f>
        <v>Spain</v>
      </c>
      <c r="AE156" s="119" t="str">
        <f>Translations!B136</f>
        <v>Sweden</v>
      </c>
      <c r="AF156" s="119" t="str">
        <f>Translations!B137</f>
        <v>United Kingdom</v>
      </c>
    </row>
    <row r="157" spans="1:32" ht="12.75">
      <c r="A157" s="90" t="s">
        <v>444</v>
      </c>
      <c r="B157" s="4" t="s">
        <v>1348</v>
      </c>
      <c r="C157" s="4" t="s">
        <v>1349</v>
      </c>
      <c r="D157" s="119" t="s">
        <v>1350</v>
      </c>
      <c r="E157" s="382" t="s">
        <v>1637</v>
      </c>
      <c r="F157" s="119" t="s">
        <v>1351</v>
      </c>
      <c r="G157" s="119" t="s">
        <v>1352</v>
      </c>
      <c r="H157" s="119" t="s">
        <v>1353</v>
      </c>
      <c r="I157" s="119" t="s">
        <v>1354</v>
      </c>
      <c r="J157" s="119" t="s">
        <v>1355</v>
      </c>
      <c r="K157" s="119" t="s">
        <v>1356</v>
      </c>
      <c r="L157" s="119" t="s">
        <v>1357</v>
      </c>
      <c r="M157" s="119" t="s">
        <v>1358</v>
      </c>
      <c r="N157" s="119" t="s">
        <v>1359</v>
      </c>
      <c r="O157" s="119" t="s">
        <v>191</v>
      </c>
      <c r="P157" s="119" t="s">
        <v>1360</v>
      </c>
      <c r="Q157" s="119" t="s">
        <v>1361</v>
      </c>
      <c r="R157" s="119" t="s">
        <v>1362</v>
      </c>
      <c r="S157" s="119" t="s">
        <v>192</v>
      </c>
      <c r="T157" s="119" t="s">
        <v>1363</v>
      </c>
      <c r="U157" s="119" t="s">
        <v>1364</v>
      </c>
      <c r="V157" s="119" t="s">
        <v>1365</v>
      </c>
      <c r="W157" s="119" t="s">
        <v>1366</v>
      </c>
      <c r="X157" s="119" t="s">
        <v>193</v>
      </c>
      <c r="Y157" s="119" t="s">
        <v>1367</v>
      </c>
      <c r="Z157" s="119" t="s">
        <v>1368</v>
      </c>
      <c r="AA157" s="119" t="s">
        <v>1369</v>
      </c>
      <c r="AB157" s="119" t="s">
        <v>1370</v>
      </c>
      <c r="AC157" s="119" t="s">
        <v>1371</v>
      </c>
      <c r="AD157" s="119" t="s">
        <v>1372</v>
      </c>
      <c r="AE157" s="119" t="s">
        <v>999</v>
      </c>
      <c r="AF157" s="119" t="s">
        <v>1000</v>
      </c>
    </row>
    <row r="158" spans="1:7" ht="12.75">
      <c r="A158" s="90" t="s">
        <v>1586</v>
      </c>
      <c r="B158" s="4" t="str">
        <f>Translations!B67</f>
        <v>Simple heat tool (E.II.1)</v>
      </c>
      <c r="C158" s="3"/>
      <c r="D158" s="90"/>
      <c r="E158" s="90"/>
      <c r="F158" s="90"/>
      <c r="G158" s="90"/>
    </row>
    <row r="159" spans="1:7" ht="12.75">
      <c r="A159" s="90" t="s">
        <v>1577</v>
      </c>
      <c r="B159" s="4" t="str">
        <f>Translations!B68</f>
        <v>Complex heat tool (E.II.2)</v>
      </c>
      <c r="C159" s="3"/>
      <c r="D159" s="90"/>
      <c r="E159" s="90"/>
      <c r="F159" s="90"/>
      <c r="G159" s="90"/>
    </row>
    <row r="160" spans="1:7" ht="12.75">
      <c r="A160" s="90" t="s">
        <v>1578</v>
      </c>
      <c r="B160" s="4" t="str">
        <f>Translations!B69</f>
        <v>Simple heat tool (E.II.1)</v>
      </c>
      <c r="C160" s="4" t="str">
        <f>EUconst_HeatToolComplex</f>
        <v>Complex heat tool (E.II.2)</v>
      </c>
      <c r="D160" s="90"/>
      <c r="E160" s="90"/>
      <c r="F160" s="90"/>
      <c r="G160" s="90"/>
    </row>
    <row r="161" spans="1:7" ht="12.75">
      <c r="A161" s="371" t="s">
        <v>929</v>
      </c>
      <c r="B161" s="370" t="str">
        <f>Translations!$B$1458</f>
        <v>latest change</v>
      </c>
      <c r="C161" s="366" t="s">
        <v>950</v>
      </c>
      <c r="D161" s="90"/>
      <c r="E161" s="90"/>
      <c r="F161" s="90"/>
      <c r="G161" s="90"/>
    </row>
    <row r="162" spans="1:7" ht="12.75">
      <c r="A162" s="90" t="s">
        <v>420</v>
      </c>
      <c r="B162" s="4" t="str">
        <f>Translations!B70</f>
        <v>experimental</v>
      </c>
      <c r="C162" s="3"/>
      <c r="D162" s="90"/>
      <c r="E162" s="90"/>
      <c r="F162" s="90"/>
      <c r="G162" s="90"/>
    </row>
    <row r="163" spans="1:7" ht="12.75">
      <c r="A163" s="90" t="s">
        <v>421</v>
      </c>
      <c r="B163" s="4" t="str">
        <f>Translations!B71</f>
        <v>point (a)</v>
      </c>
      <c r="C163" s="3"/>
      <c r="D163" s="370"/>
      <c r="E163" s="90"/>
      <c r="F163" s="90"/>
      <c r="G163" s="90"/>
    </row>
    <row r="164" spans="1:8" ht="12.75">
      <c r="A164" s="371" t="s">
        <v>58</v>
      </c>
      <c r="B164" s="370" t="str">
        <f>Translations!$B$1459</f>
        <v>NIMs 2005-2008</v>
      </c>
      <c r="C164" s="370" t="str">
        <f>Translations!$B$1460</f>
        <v>NIMs Experimental Verification</v>
      </c>
      <c r="D164" s="370" t="str">
        <f>Translations!$B$1461</f>
        <v>NIMs Article 9(6)</v>
      </c>
      <c r="E164" s="370" t="str">
        <f>Translations!$B$1462</f>
        <v>NIMs Article 9(9)</v>
      </c>
      <c r="F164" s="370" t="str">
        <f>Translations!$B$1149</f>
        <v>Latest change Article 17(4)</v>
      </c>
      <c r="G164" s="370" t="str">
        <f>Translations!$B$1136</f>
        <v>New sub-installation</v>
      </c>
      <c r="H164" s="366" t="s">
        <v>950</v>
      </c>
    </row>
    <row r="165" spans="1:7" ht="12.75" customHeight="1">
      <c r="A165" s="371" t="s">
        <v>665</v>
      </c>
      <c r="B165" s="370" t="str">
        <f>Translations!$B$1463</f>
        <v>a) The greenhouse gas emissions permit, the permit in force in accordance with Directive 2008/1/EC or any other relevant environmental permit has expired</v>
      </c>
      <c r="C165" s="370" t="str">
        <f>Translations!$B$1464</f>
        <v>b) A permit referred to under point (a) has been withdrawn</v>
      </c>
      <c r="D165" s="370" t="str">
        <f>Translations!$B$1465</f>
        <v>c) Operation of the installation is technically impossible</v>
      </c>
      <c r="E165" s="370" t="str">
        <f>Translations!$B$1466</f>
        <v>d) The installation is not operating, but has been operating before and it is technically impossible to resume operation</v>
      </c>
      <c r="F165" s="370" t="str">
        <f>Translations!$B$1467</f>
        <v>e) The installation is not operating, but has been operating before and the operator cannot prove that operation can resume within 6 months after having ceased operations.</v>
      </c>
      <c r="G165" s="366" t="s">
        <v>950</v>
      </c>
    </row>
    <row r="166" spans="1:7" ht="12.75">
      <c r="A166" s="371" t="s">
        <v>648</v>
      </c>
      <c r="B166" s="370" t="str">
        <f>Translations!$B$1468</f>
        <v>no partial cessation applicable for that year!</v>
      </c>
      <c r="C166" s="366" t="s">
        <v>950</v>
      </c>
      <c r="D166" s="90"/>
      <c r="E166" s="90"/>
      <c r="F166" s="90"/>
      <c r="G166" s="90"/>
    </row>
    <row r="167" spans="1:7" ht="12.75">
      <c r="A167" s="371" t="s">
        <v>952</v>
      </c>
      <c r="B167" s="370" t="str">
        <f>Translations!$B$1469</f>
        <v>capacity increase &lt; 10%</v>
      </c>
      <c r="C167" s="366" t="s">
        <v>950</v>
      </c>
      <c r="D167" s="90"/>
      <c r="E167" s="90"/>
      <c r="F167" s="90"/>
      <c r="G167" s="90"/>
    </row>
    <row r="168" spans="1:7" ht="12.75">
      <c r="A168" s="371" t="s">
        <v>282</v>
      </c>
      <c r="B168" s="370" t="str">
        <f>Translations!$B$1470</f>
        <v>capacity decrease &lt; 10%</v>
      </c>
      <c r="C168" s="366" t="s">
        <v>950</v>
      </c>
      <c r="D168" s="90"/>
      <c r="E168" s="90"/>
      <c r="F168" s="90"/>
      <c r="G168" s="90"/>
    </row>
    <row r="169" spans="1:7" ht="12.75">
      <c r="A169" s="371" t="s">
        <v>942</v>
      </c>
      <c r="B169" s="370" t="str">
        <f>Translations!$B$1471</f>
        <v>At least 40% not reached</v>
      </c>
      <c r="C169" s="366" t="s">
        <v>950</v>
      </c>
      <c r="D169" s="90"/>
      <c r="E169" s="90"/>
      <c r="F169" s="90"/>
      <c r="G169" s="90"/>
    </row>
    <row r="170" spans="1:7" ht="12.75">
      <c r="A170" s="371" t="s">
        <v>649</v>
      </c>
      <c r="B170" s="370" t="str">
        <f>Translations!$B$1472</f>
        <v>Only one 1st sub-installation!</v>
      </c>
      <c r="C170" s="366" t="s">
        <v>950</v>
      </c>
      <c r="D170" s="90"/>
      <c r="E170" s="90"/>
      <c r="F170" s="90"/>
      <c r="G170" s="90"/>
    </row>
    <row r="171" spans="1:7" ht="12.75">
      <c r="A171" s="371" t="s">
        <v>650</v>
      </c>
      <c r="B171" s="370" t="str">
        <f>Translations!$B$1473</f>
        <v>Choose at least one new sub-installation !</v>
      </c>
      <c r="C171" s="366" t="s">
        <v>950</v>
      </c>
      <c r="D171" s="90"/>
      <c r="E171" s="90"/>
      <c r="F171" s="90"/>
      <c r="G171" s="90"/>
    </row>
    <row r="172" spans="1:7" ht="12.75">
      <c r="A172" s="371" t="s">
        <v>1498</v>
      </c>
      <c r="B172" s="370" t="str">
        <f>Translations!$B$1474</f>
        <v>Please choose the type of changes for this current application!</v>
      </c>
      <c r="C172" s="366" t="s">
        <v>950</v>
      </c>
      <c r="D172" s="90"/>
      <c r="E172" s="90"/>
      <c r="F172" s="90"/>
      <c r="G172" s="90"/>
    </row>
    <row r="173" spans="1:7" ht="12.75">
      <c r="A173" s="90" t="s">
        <v>417</v>
      </c>
      <c r="B173" s="370" t="str">
        <f>Translations!$B$1475</f>
        <v>It is mandatory to answer questions (b) and (d)!</v>
      </c>
      <c r="C173" s="3"/>
      <c r="D173" s="90"/>
      <c r="E173" s="90"/>
      <c r="F173" s="90"/>
      <c r="G173" s="90"/>
    </row>
    <row r="174" spans="1:7" ht="12.75">
      <c r="A174" s="90" t="s">
        <v>363</v>
      </c>
      <c r="B174" s="370" t="str">
        <f>Translations!$B$1476</f>
        <v>It is mandatory that under A.II.2 question (e) is answered!</v>
      </c>
      <c r="C174" s="3"/>
      <c r="D174" s="90"/>
      <c r="E174" s="90"/>
      <c r="F174" s="90"/>
      <c r="G174" s="90"/>
    </row>
    <row r="175" spans="1:7" ht="12.75">
      <c r="A175" s="90" t="s">
        <v>416</v>
      </c>
      <c r="B175" s="370" t="str">
        <f>Translations!$B$1477</f>
        <v>It is mandatory that under A.I. question (d) is answered!</v>
      </c>
      <c r="C175" s="3"/>
      <c r="D175" s="90"/>
      <c r="E175" s="90"/>
      <c r="F175" s="90"/>
      <c r="G175" s="90"/>
    </row>
    <row r="176" spans="1:7" ht="12.75">
      <c r="A176" s="371" t="s">
        <v>1038</v>
      </c>
      <c r="B176" s="370" t="str">
        <f>Translations!$B$1478</f>
        <v>No significant capacity change in accordance to Articles 3 (i) and (j) of the CIMs!</v>
      </c>
      <c r="C176" s="366" t="s">
        <v>950</v>
      </c>
      <c r="D176" s="90"/>
      <c r="E176" s="90"/>
      <c r="F176" s="90"/>
      <c r="G176" s="90"/>
    </row>
    <row r="177" spans="1:7" ht="12.75">
      <c r="A177" s="371" t="s">
        <v>669</v>
      </c>
      <c r="B177" s="370" t="str">
        <f>Translations!$B$1479</f>
        <v>Item e) is not applicable to installations that are kept in reserve or standby and installations which are operated on a seasonal schedule.</v>
      </c>
      <c r="C177" s="366" t="s">
        <v>950</v>
      </c>
      <c r="D177" s="90"/>
      <c r="E177" s="90"/>
      <c r="F177" s="90"/>
      <c r="G177" s="90"/>
    </row>
    <row r="178" spans="1:7" ht="12.75">
      <c r="A178" s="90" t="s">
        <v>423</v>
      </c>
      <c r="B178" s="4" t="str">
        <f>Translations!B72</f>
        <v>At least one sub-installation name has been entered more than once. Please correct!</v>
      </c>
      <c r="C178" s="3"/>
      <c r="D178" s="90"/>
      <c r="E178" s="90"/>
      <c r="F178" s="90"/>
      <c r="G178" s="90"/>
    </row>
    <row r="179" spans="1:7" ht="12.75">
      <c r="A179" s="90" t="s">
        <v>425</v>
      </c>
      <c r="B179" s="4" t="str">
        <f>Translations!B73</f>
        <v>You must select at least one sub-installation in sections III.1 or III.2!</v>
      </c>
      <c r="C179" s="3"/>
      <c r="D179" s="90"/>
      <c r="E179" s="90"/>
      <c r="F179" s="90"/>
      <c r="G179" s="90"/>
    </row>
    <row r="180" spans="1:7" ht="12.75">
      <c r="A180" s="90" t="s">
        <v>427</v>
      </c>
      <c r="B180" s="4" t="str">
        <f>Translations!B74</f>
        <v>Please enter for each sub-installation if it is relevant or not!</v>
      </c>
      <c r="C180" s="3"/>
      <c r="D180" s="90"/>
      <c r="E180" s="90"/>
      <c r="F180" s="90"/>
      <c r="G180" s="90"/>
    </row>
    <row r="181" spans="1:7" ht="12.75">
      <c r="A181" s="90" t="s">
        <v>1481</v>
      </c>
      <c r="B181" s="4" t="str">
        <f>Translations!B75</f>
        <v>Please enter information under points (b) and (c) above!</v>
      </c>
      <c r="C181" s="3"/>
      <c r="D181" s="90"/>
      <c r="E181" s="90"/>
      <c r="F181" s="90"/>
      <c r="G181" s="90"/>
    </row>
    <row r="182" spans="1:7" ht="12.75">
      <c r="A182" s="90" t="s">
        <v>1483</v>
      </c>
      <c r="B182" s="4" t="str">
        <f>Translations!B76</f>
        <v>Please enter detailed source stream data starting with section II below!</v>
      </c>
      <c r="C182" s="3"/>
      <c r="D182" s="90"/>
      <c r="E182" s="90"/>
      <c r="F182" s="90"/>
      <c r="G182" s="90"/>
    </row>
    <row r="183" spans="1:7" ht="12.75">
      <c r="A183" s="90" t="s">
        <v>1485</v>
      </c>
      <c r="B183" s="4" t="str">
        <f>Translations!B77</f>
        <v>Please go on with entering emission totals in section D.I.2 in sheet 'D_Emissions'!</v>
      </c>
      <c r="C183" s="3"/>
      <c r="D183" s="90"/>
      <c r="E183" s="90"/>
      <c r="F183" s="90"/>
      <c r="G183" s="90"/>
    </row>
    <row r="184" spans="1:7" ht="12.75">
      <c r="A184" s="90" t="s">
        <v>679</v>
      </c>
      <c r="B184" s="4" t="str">
        <f>Translations!B78</f>
        <v>Please enter also data in section E.II.4!</v>
      </c>
      <c r="C184" s="3"/>
      <c r="D184" s="90"/>
      <c r="E184" s="90"/>
      <c r="F184" s="90"/>
      <c r="G184" s="90"/>
    </row>
    <row r="185" spans="1:7" ht="12.75">
      <c r="A185" s="90" t="s">
        <v>678</v>
      </c>
      <c r="B185" s="4" t="str">
        <f>Translations!B79</f>
        <v>Please enter also data in section D.II.3.a.!</v>
      </c>
      <c r="C185" s="3"/>
      <c r="D185" s="90"/>
      <c r="E185" s="90"/>
      <c r="F185" s="90"/>
      <c r="G185" s="90"/>
    </row>
    <row r="186" spans="1:7" ht="12.75">
      <c r="A186" s="90" t="s">
        <v>1056</v>
      </c>
      <c r="B186" s="4" t="str">
        <f>Translations!B80</f>
        <v>Detailed instructions for data entries in this tool can be found at the first copy of this tool. </v>
      </c>
      <c r="C186" s="3"/>
      <c r="D186" s="90"/>
      <c r="E186" s="90"/>
      <c r="F186" s="90"/>
      <c r="G186" s="90"/>
    </row>
    <row r="187" spans="1:7" ht="12.75">
      <c r="A187" s="90" t="s">
        <v>1058</v>
      </c>
      <c r="B187" s="4" t="str">
        <f>Translations!B81</f>
        <v>Please proceed to sheet 'F_ProductBM'!</v>
      </c>
      <c r="C187" s="3"/>
      <c r="D187" s="90"/>
      <c r="E187" s="90"/>
      <c r="F187" s="90"/>
      <c r="G187" s="90"/>
    </row>
    <row r="188" spans="1:7" ht="12.75">
      <c r="A188" s="90" t="s">
        <v>1060</v>
      </c>
      <c r="B188" s="4" t="str">
        <f>Translations!B82</f>
        <v>Please proceed to section E.II.2</v>
      </c>
      <c r="C188" s="3"/>
      <c r="D188" s="90"/>
      <c r="E188" s="90"/>
      <c r="F188" s="90"/>
      <c r="G188" s="90"/>
    </row>
    <row r="189" spans="1:7" ht="12.75">
      <c r="A189" s="90" t="s">
        <v>1061</v>
      </c>
      <c r="B189" s="4" t="str">
        <f>Translations!B83</f>
        <v>Please continue with the next points below</v>
      </c>
      <c r="C189" s="3"/>
      <c r="D189" s="90"/>
      <c r="E189" s="90"/>
      <c r="F189" s="90"/>
      <c r="G189" s="90"/>
    </row>
    <row r="190" spans="1:7" ht="12.75">
      <c r="A190" s="90" t="s">
        <v>688</v>
      </c>
      <c r="B190" s="4" t="str">
        <f>Translations!B84</f>
        <v>Please use electricity exchangeability tool below.</v>
      </c>
      <c r="C190" s="3"/>
      <c r="D190" s="90"/>
      <c r="E190" s="90"/>
      <c r="F190" s="90"/>
      <c r="G190" s="90"/>
    </row>
    <row r="191" spans="1:7" ht="12.75">
      <c r="A191" s="90" t="s">
        <v>1215</v>
      </c>
      <c r="B191" s="4" t="str">
        <f>Translations!B85</f>
        <v>Please continue with point (d) below.</v>
      </c>
      <c r="C191" s="3"/>
      <c r="D191" s="90"/>
      <c r="E191" s="90"/>
      <c r="F191" s="90"/>
      <c r="G191" s="90"/>
    </row>
    <row r="192" spans="1:7" ht="12.75">
      <c r="A192" s="90" t="s">
        <v>1216</v>
      </c>
      <c r="B192" s="4" t="str">
        <f>Translations!B86</f>
        <v>If not relevant at your installation, continue with the next points.</v>
      </c>
      <c r="C192" s="3"/>
      <c r="D192" s="90"/>
      <c r="E192" s="90"/>
      <c r="F192" s="90"/>
      <c r="G192" s="90"/>
    </row>
    <row r="193" spans="1:7" ht="12.75">
      <c r="A193" s="90" t="s">
        <v>1223</v>
      </c>
      <c r="B193" s="4" t="str">
        <f>Translations!B87</f>
        <v>Dates must be sorted ascending!</v>
      </c>
      <c r="C193" s="3"/>
      <c r="D193" s="90"/>
      <c r="E193" s="90"/>
      <c r="F193" s="90"/>
      <c r="G193" s="90"/>
    </row>
    <row r="194" spans="1:7" ht="12.75">
      <c r="A194" s="90" t="s">
        <v>1224</v>
      </c>
      <c r="B194" s="4" t="str">
        <f>Translations!B88</f>
        <v>Initial date must be after 30 June 2011!</v>
      </c>
      <c r="C194" s="3"/>
      <c r="D194" s="90"/>
      <c r="E194" s="90"/>
      <c r="F194" s="90"/>
      <c r="G194" s="90"/>
    </row>
    <row r="195" spans="1:7" ht="12.75">
      <c r="A195" s="90" t="s">
        <v>350</v>
      </c>
      <c r="B195" s="4" t="str">
        <f>Translations!B89</f>
        <v>All dates must be after 30 June 2011!</v>
      </c>
      <c r="C195" s="3"/>
      <c r="D195" s="90"/>
      <c r="E195" s="90"/>
      <c r="F195" s="90"/>
      <c r="G195" s="90"/>
    </row>
    <row r="196" spans="1:7" ht="12.75">
      <c r="A196" s="90" t="s">
        <v>1226</v>
      </c>
      <c r="B196" s="4" t="str">
        <f>Translations!B90</f>
        <v>Initial date missing!</v>
      </c>
      <c r="C196" s="3"/>
      <c r="D196" s="90"/>
      <c r="E196" s="90"/>
      <c r="F196" s="90"/>
      <c r="G196" s="90"/>
    </row>
    <row r="197" spans="1:7" ht="12.75">
      <c r="A197" s="90" t="s">
        <v>1429</v>
      </c>
      <c r="B197" s="370" t="str">
        <f>Translations!$B$1480</f>
        <v>Activity missing (A.I.3.a)!</v>
      </c>
      <c r="C197" s="3"/>
      <c r="D197" s="90"/>
      <c r="E197" s="90"/>
      <c r="F197" s="90"/>
      <c r="G197" s="90"/>
    </row>
    <row r="198" spans="1:7" ht="12.75">
      <c r="A198" s="90" t="s">
        <v>1581</v>
      </c>
      <c r="B198" s="4" t="str">
        <f>Translations!B91</f>
        <v>Please enter data in this section!</v>
      </c>
      <c r="C198" s="3"/>
      <c r="D198" s="90"/>
      <c r="E198" s="90"/>
      <c r="F198" s="90"/>
      <c r="G198" s="90"/>
    </row>
    <row r="199" spans="1:7" ht="12.75">
      <c r="A199" s="90" t="s">
        <v>356</v>
      </c>
      <c r="B199" s="370" t="str">
        <f>Translations!$B$336</f>
        <v>&lt;&lt;&lt; Click here to proceed to next sheet &gt;&gt;&gt; </v>
      </c>
      <c r="C199" s="3"/>
      <c r="D199" s="90"/>
      <c r="E199" s="90"/>
      <c r="F199" s="90"/>
      <c r="G199" s="90"/>
    </row>
    <row r="200" spans="1:7" ht="12.75">
      <c r="A200" s="90" t="s">
        <v>1584</v>
      </c>
      <c r="B200" s="4" t="str">
        <f>Translations!B92</f>
        <v>Please proceed to the next sub-installation!</v>
      </c>
      <c r="C200" s="3"/>
      <c r="D200" s="90"/>
      <c r="E200" s="90"/>
      <c r="F200" s="90"/>
      <c r="G200" s="90"/>
    </row>
    <row r="201" spans="1:7" ht="12.75">
      <c r="A201" s="90" t="s">
        <v>1585</v>
      </c>
      <c r="B201" s="4" t="str">
        <f>Translations!B93</f>
        <v>Click here to return to sheet F_ProductBM</v>
      </c>
      <c r="C201" s="3"/>
      <c r="D201" s="90"/>
      <c r="E201" s="90"/>
      <c r="F201" s="90"/>
      <c r="G201" s="90"/>
    </row>
    <row r="202" spans="1:7" ht="12.75">
      <c r="A202" s="90" t="s">
        <v>1773</v>
      </c>
      <c r="B202" s="4" t="str">
        <f>Translations!B94</f>
        <v>Please continue with data entry under points (c) and (d)!</v>
      </c>
      <c r="C202" s="3"/>
      <c r="D202" s="90"/>
      <c r="E202" s="90"/>
      <c r="F202" s="90"/>
      <c r="G202" s="90"/>
    </row>
    <row r="203" spans="1:7" ht="12.75">
      <c r="A203" s="90" t="s">
        <v>1774</v>
      </c>
      <c r="B203" s="4" t="str">
        <f>Translations!B95</f>
        <v>Please continue with point (e)!</v>
      </c>
      <c r="C203" s="3"/>
      <c r="D203" s="90"/>
      <c r="E203" s="90"/>
      <c r="F203" s="90"/>
      <c r="G203" s="90"/>
    </row>
    <row r="204" spans="1:7" ht="12.75">
      <c r="A204" s="90" t="s">
        <v>277</v>
      </c>
      <c r="B204" s="4" t="str">
        <f>Translations!B96</f>
        <v>Article 9(6) of the CIMs is to be applied!</v>
      </c>
      <c r="C204" s="3"/>
      <c r="D204" s="90"/>
      <c r="E204" s="90"/>
      <c r="F204" s="90"/>
      <c r="G204" s="90"/>
    </row>
    <row r="205" spans="1:7" ht="12.75">
      <c r="A205" s="371" t="s">
        <v>1870</v>
      </c>
      <c r="B205" s="370" t="str">
        <f>Translations!$B$1321</f>
        <v>Relevant amount of pulp placed on the market</v>
      </c>
      <c r="C205" s="3"/>
      <c r="D205" s="90"/>
      <c r="E205" s="90"/>
      <c r="F205" s="90"/>
      <c r="G205" s="90"/>
    </row>
    <row r="206" spans="1:7" ht="12.75">
      <c r="A206" s="371" t="s">
        <v>875</v>
      </c>
      <c r="B206" s="370" t="str">
        <f>Translations!$B$1322</f>
        <v>Relevant amount of pulp produced</v>
      </c>
      <c r="C206" s="3"/>
      <c r="D206" s="90"/>
      <c r="E206" s="90"/>
      <c r="F206" s="90"/>
      <c r="G206" s="90"/>
    </row>
    <row r="207" spans="1:7" ht="12.75">
      <c r="A207" s="371" t="str">
        <f>Translations!$B$1593</f>
        <v>EUconst_ERR_Mandatory_c</v>
      </c>
      <c r="B207" s="370" t="str">
        <f>Translations!$B$1498</f>
        <v>It is mandatory that under A.I question (a) is answered!</v>
      </c>
      <c r="C207" s="3"/>
      <c r="D207" s="90"/>
      <c r="E207" s="90"/>
      <c r="F207" s="90"/>
      <c r="G207" s="90"/>
    </row>
    <row r="208" spans="1:7" ht="12.75">
      <c r="A208" s="371" t="str">
        <f>Translations!$B$1594</f>
        <v>EUconst_ConfirmMergerSplit</v>
      </c>
      <c r="B208" s="370" t="str">
        <f>Translations!$B$1499</f>
        <v>The operator has confirmed that this application is exclusively related to changes in installation boundaries and existing permits and also confirmed that no physical changes occurred.</v>
      </c>
      <c r="C208" s="3"/>
      <c r="D208" s="90"/>
      <c r="E208" s="90"/>
      <c r="F208" s="90"/>
      <c r="G208" s="90"/>
    </row>
    <row r="209" spans="1:7" ht="12.75">
      <c r="A209" s="90"/>
      <c r="B209" s="3"/>
      <c r="C209" s="3"/>
      <c r="D209" s="90"/>
      <c r="E209" s="90"/>
      <c r="F209" s="90"/>
      <c r="G209" s="90"/>
    </row>
    <row r="210" spans="1:7" ht="12.75">
      <c r="A210" s="90"/>
      <c r="B210" s="90"/>
      <c r="C210" s="90"/>
      <c r="D210" s="90"/>
      <c r="E210" s="90"/>
      <c r="F210" s="90"/>
      <c r="G210" s="90"/>
    </row>
    <row r="211" spans="1:7" ht="12.75">
      <c r="A211" s="90"/>
      <c r="B211" s="90"/>
      <c r="C211" s="90"/>
      <c r="D211" s="90"/>
      <c r="E211" s="90"/>
      <c r="F211" s="90"/>
      <c r="G211" s="90"/>
    </row>
    <row r="212" s="121" customFormat="1" ht="12.75">
      <c r="A212" s="121" t="str">
        <f>Translations!$B$1595</f>
        <v>Activity list</v>
      </c>
    </row>
    <row r="213" spans="1:13" s="95" customFormat="1" ht="12.75">
      <c r="A213" s="122" t="str">
        <f>Translations!$B$1596</f>
        <v>No. of Activity</v>
      </c>
      <c r="B213" s="122" t="str">
        <f>Translations!$B$1597</f>
        <v>Activity (Annex I ETS Directive)</v>
      </c>
      <c r="C213" s="122"/>
      <c r="D213" s="122"/>
      <c r="E213" s="122"/>
      <c r="F213" s="122"/>
      <c r="G213" s="122"/>
      <c r="H213" s="122"/>
      <c r="I213" s="122"/>
      <c r="J213" s="122"/>
      <c r="K213" s="122"/>
      <c r="L213" s="122"/>
      <c r="M213" s="122"/>
    </row>
    <row r="214" spans="1:4" s="92" customFormat="1" ht="12.75">
      <c r="A214" s="92">
        <v>1</v>
      </c>
      <c r="B214" s="122" t="str">
        <f>IF(LEN(Translations!B138)&gt;250,LEFT(Translations!B138,250),Translations!B138)</f>
        <v>Combustion of fuels in installations with a total rated thermal input exceeding 20 MW (except in installations for the incineration of hazardous or municipal waste)</v>
      </c>
      <c r="D214" s="95"/>
    </row>
    <row r="215" spans="1:2" s="95" customFormat="1" ht="12.75">
      <c r="A215" s="95">
        <v>2</v>
      </c>
      <c r="B215" s="122" t="str">
        <f>IF(LEN(Translations!B139)&gt;250,LEFT(Translations!B139,250),Translations!B139)</f>
        <v>Refining of mineral oil </v>
      </c>
    </row>
    <row r="216" spans="1:2" s="95" customFormat="1" ht="12.75">
      <c r="A216" s="95">
        <v>3</v>
      </c>
      <c r="B216" s="122" t="str">
        <f>IF(LEN(Translations!B140)&gt;250,LEFT(Translations!B140,250),Translations!B140)</f>
        <v>Production of coke </v>
      </c>
    </row>
    <row r="217" spans="1:2" s="95" customFormat="1" ht="12.75">
      <c r="A217" s="95">
        <v>4</v>
      </c>
      <c r="B217" s="122" t="str">
        <f>IF(LEN(Translations!B141)&gt;250,LEFT(Translations!B141,250),Translations!B141)</f>
        <v>Metal ore (including sulphide ore) roasting or sintering, including pelletisation </v>
      </c>
    </row>
    <row r="218" spans="1:2" s="95" customFormat="1" ht="12.75">
      <c r="A218" s="95">
        <v>5</v>
      </c>
      <c r="B218" s="122" t="str">
        <f>IF(LEN(Translations!B142)&gt;250,LEFT(Translations!B142,250),Translations!B142)</f>
        <v>Production of pig iron or steel (primary or secondary fusion) including continuous casting, with a capacity exceeding 2,5 tonnes per hour </v>
      </c>
    </row>
    <row r="219" spans="1:2" s="95" customFormat="1" ht="12.75">
      <c r="A219" s="95">
        <v>6</v>
      </c>
      <c r="B219" s="122" t="str">
        <f>IF(LEN(Translations!B143)&gt;250,LEFT(Translations!B143,250),Translations!B143)</f>
        <v>Production or processing of ferrous metals (including ferro-alloys) where combustion units with a total rated thermal input exceeding 20 MW are operated. Processing includes, inter alia, rolling mills, re-heaters, annealing furnaces, smitheries, foun</v>
      </c>
    </row>
    <row r="220" spans="1:2" s="95" customFormat="1" ht="12.75">
      <c r="A220" s="95">
        <v>7</v>
      </c>
      <c r="B220" s="122" t="str">
        <f>IF(LEN(Translations!B144)&gt;250,LEFT(Translations!B144,250),Translations!B144)</f>
        <v>Production of primary aluminium </v>
      </c>
    </row>
    <row r="221" spans="1:2" s="95" customFormat="1" ht="12.75">
      <c r="A221" s="95">
        <v>8</v>
      </c>
      <c r="B221" s="122" t="str">
        <f>IF(LEN(Translations!B145)&gt;250,LEFT(Translations!B145,250),Translations!B145)</f>
        <v>Production of secondary aluminium where combustion units with a total rated thermal input exceeding 20 MW are operated</v>
      </c>
    </row>
    <row r="222" spans="1:2" s="95" customFormat="1" ht="12.75">
      <c r="A222" s="95">
        <v>9</v>
      </c>
      <c r="B222" s="122" t="str">
        <f>IF(LEN(Translations!B146)&gt;250,LEFT(Translations!B146,250),Translations!B146)</f>
        <v>Production or processing of non-ferrous metals, including production of alloys, refining, foundry casting, etc., where combustion units with a total rated thermal input (including fuels used as reducing agents) exceeding 20 MW are operated</v>
      </c>
    </row>
    <row r="223" spans="1:2" s="95" customFormat="1" ht="12.75">
      <c r="A223" s="95">
        <v>10</v>
      </c>
      <c r="B223" s="122" t="str">
        <f>IF(LEN(Translations!B147)&gt;250,LEFT(Translations!B147,250),Translations!B147)</f>
        <v>Production of cement clinker in rotary kilns with a production capacity exceeding 500 tonnes per day or in other furnaces with a production capacity exceeding 50 tonnes per day </v>
      </c>
    </row>
    <row r="224" spans="1:2" s="95" customFormat="1" ht="12.75">
      <c r="A224" s="95">
        <v>11</v>
      </c>
      <c r="B224" s="122" t="str">
        <f>IF(LEN(Translations!B148)&gt;250,LEFT(Translations!B148,250),Translations!B148)</f>
        <v>Production of lime or calcination of dolomite or magnesite in rotary kilns or in other furnaces with a production capacity exceeding 50 tonnes per day </v>
      </c>
    </row>
    <row r="225" spans="1:2" s="95" customFormat="1" ht="12.75">
      <c r="A225" s="95">
        <v>12</v>
      </c>
      <c r="B225" s="122" t="str">
        <f>IF(LEN(Translations!B149)&gt;250,LEFT(Translations!B149,250),Translations!B149)</f>
        <v>Manufacture of glass including glass fibre with a melting capacity exceeding 20 tonnes per day </v>
      </c>
    </row>
    <row r="226" spans="1:2" s="95" customFormat="1" ht="12.75">
      <c r="A226" s="95">
        <v>13</v>
      </c>
      <c r="B226" s="122" t="str">
        <f>IF(LEN(Translations!B150)&gt;250,LEFT(Translations!B150,250),Translations!B150)</f>
        <v>Manufacture of ceramic products by firing, in particular roofing tiles, bricks, refractory bricks, tiles, stoneware or porcelain, with a production capacity exceeding 75 tonnes per day </v>
      </c>
    </row>
    <row r="227" spans="1:2" s="95" customFormat="1" ht="12.75">
      <c r="A227" s="95">
        <v>14</v>
      </c>
      <c r="B227" s="122" t="str">
        <f>IF(LEN(Translations!B151)&gt;250,LEFT(Translations!B151,250),Translations!B151)</f>
        <v>Manufacture of mineral wool insulation material using glass, rock or slag with a melting capacity exceeding 20 tonnes per day </v>
      </c>
    </row>
    <row r="228" spans="1:2" s="95" customFormat="1" ht="12.75">
      <c r="A228" s="95">
        <v>15</v>
      </c>
      <c r="B228" s="122" t="str">
        <f>IF(LEN(Translations!B152)&gt;250,LEFT(Translations!B152,250),Translations!B152)</f>
        <v>Drying or calcination of gypsum or production of plaster boards and other gypsum products, where combustion units with a total rated thermal input exceeding 20 MW are operated </v>
      </c>
    </row>
    <row r="229" spans="1:2" s="95" customFormat="1" ht="12.75">
      <c r="A229" s="95">
        <v>16</v>
      </c>
      <c r="B229" s="122" t="str">
        <f>IF(LEN(Translations!B153)&gt;250,LEFT(Translations!B153,250),Translations!B153)</f>
        <v>Production of pulp from timber or other fibrous materials </v>
      </c>
    </row>
    <row r="230" spans="1:2" s="95" customFormat="1" ht="12.75">
      <c r="A230" s="95">
        <v>17</v>
      </c>
      <c r="B230" s="122" t="str">
        <f>IF(LEN(Translations!B154)&gt;250,LEFT(Translations!B154,250),Translations!B154)</f>
        <v>Production of paper or cardboard with a production capacity exceeding 20 tonnes per day </v>
      </c>
    </row>
    <row r="231" spans="1:2" s="95" customFormat="1" ht="12.75">
      <c r="A231" s="95">
        <v>18</v>
      </c>
      <c r="B231" s="122" t="str">
        <f>IF(LEN(Translations!B155)&gt;250,LEFT(Translations!B155,250),Translations!B155)</f>
        <v>Production of carbon black involving the carbonisation of organic substances such as oils, tars, cracker and distillation residues, where combustion units with a total rated thermal input exceeding 20 MW are operated </v>
      </c>
    </row>
    <row r="232" spans="1:2" s="95" customFormat="1" ht="12.75">
      <c r="A232" s="95">
        <v>19</v>
      </c>
      <c r="B232" s="122" t="str">
        <f>IF(LEN(Translations!B156)&gt;250,LEFT(Translations!B156,250),Translations!B156)</f>
        <v>Production of nitric acid </v>
      </c>
    </row>
    <row r="233" spans="1:2" s="95" customFormat="1" ht="12.75">
      <c r="A233" s="95">
        <v>20</v>
      </c>
      <c r="B233" s="122" t="str">
        <f>IF(LEN(Translations!B157)&gt;250,LEFT(Translations!B157,250),Translations!B157)</f>
        <v>Production of adipic acid </v>
      </c>
    </row>
    <row r="234" spans="1:2" s="95" customFormat="1" ht="12.75">
      <c r="A234" s="95">
        <v>21</v>
      </c>
      <c r="B234" s="122" t="str">
        <f>IF(LEN(Translations!B158)&gt;250,LEFT(Translations!B158,250),Translations!B158)</f>
        <v>Production of glyoxal and glyoxylic acid</v>
      </c>
    </row>
    <row r="235" spans="1:2" s="95" customFormat="1" ht="12.75">
      <c r="A235" s="95">
        <v>22</v>
      </c>
      <c r="B235" s="122" t="str">
        <f>IF(LEN(Translations!B159)&gt;250,LEFT(Translations!B159,250),Translations!B159)</f>
        <v>Production of ammonia </v>
      </c>
    </row>
    <row r="236" spans="1:2" s="95" customFormat="1" ht="12.75">
      <c r="A236" s="95">
        <v>23</v>
      </c>
      <c r="B236" s="122" t="str">
        <f>IF(LEN(Translations!B160)&gt;250,LEFT(Translations!B160,250),Translations!B160)</f>
        <v>Production of bulk organic chemicals by cracking, reforming, partial or full oxidation or by similar processes, with a production capacity exceeding 100 tonnes per day </v>
      </c>
    </row>
    <row r="237" spans="1:2" s="95" customFormat="1" ht="12.75">
      <c r="A237" s="95">
        <v>24</v>
      </c>
      <c r="B237" s="122" t="str">
        <f>IF(LEN(Translations!B161)&gt;250,LEFT(Translations!B161,250),Translations!B161)</f>
        <v>Production of hydrogen (H2) and synthesis gas by reforming or partial oxidation with a production capacity exceeding 25 tonnes per day </v>
      </c>
    </row>
    <row r="238" spans="1:2" s="95" customFormat="1" ht="12.75">
      <c r="A238" s="95">
        <v>25</v>
      </c>
      <c r="B238" s="122" t="str">
        <f>IF(LEN(Translations!B162)&gt;250,LEFT(Translations!B162,250),Translations!B162)</f>
        <v>Production of soda ash (Na2CO3) and sodium bicarbonate (NaHCO3) </v>
      </c>
    </row>
    <row r="239" spans="1:2" s="95" customFormat="1" ht="12.75">
      <c r="A239" s="95">
        <v>26</v>
      </c>
      <c r="B239" s="122" t="str">
        <f>IF(LEN(Translations!B163)&gt;250,LEFT(Translations!B163,250),Translations!B163)</f>
        <v>Capture of greenhouse gases from installations covered by this Directive for the purpose of transport and geological storage in a storage site permitted under Directive 2009/31/EC</v>
      </c>
    </row>
    <row r="240" spans="1:2" s="95" customFormat="1" ht="12.75">
      <c r="A240" s="95">
        <v>27</v>
      </c>
      <c r="B240" s="122" t="str">
        <f>IF(LEN(Translations!B164)&gt;250,LEFT(Translations!B164,250),Translations!B164)</f>
        <v>Transport of greenhouse gases by pipelines for geological storage in a storage site permitted under Directive 2009/31/EC</v>
      </c>
    </row>
    <row r="241" spans="1:2" s="95" customFormat="1" ht="12.75">
      <c r="A241" s="95">
        <v>28</v>
      </c>
      <c r="B241" s="122" t="str">
        <f>IF(LEN(Translations!B165)&gt;250,LEFT(Translations!B165,250),Translations!B165)</f>
        <v>Geological storage of greenhouse gases in a storage site permitted under Directive 2009/31/EC</v>
      </c>
    </row>
    <row r="242" s="95" customFormat="1" ht="12.75">
      <c r="A242" s="124"/>
    </row>
    <row r="243" s="95" customFormat="1" ht="12.75"/>
    <row r="244" s="95" customFormat="1" ht="12.75"/>
    <row r="245" s="121" customFormat="1" ht="12.75">
      <c r="A245" s="121" t="str">
        <f>Translations!$B$1598</f>
        <v>Benchmark List</v>
      </c>
    </row>
    <row r="246" spans="1:13" s="101" customFormat="1" ht="63.75">
      <c r="A246" s="125" t="str">
        <f>Translations!$B$1597</f>
        <v>Activity (Annex I ETS Directive)</v>
      </c>
      <c r="B246" s="125" t="str">
        <f>Translations!$B$1596</f>
        <v>No. of Activity</v>
      </c>
      <c r="C246" s="125" t="str">
        <f>Translations!$B$990</f>
        <v>No. of BM</v>
      </c>
      <c r="D246" s="125" t="str">
        <f>Translations!$B$1599</f>
        <v>alternative BM No.</v>
      </c>
      <c r="E246" s="125" t="str">
        <f>Translations!$B$1600</f>
        <v>Product benchmark</v>
      </c>
      <c r="F246" s="125" t="str">
        <f>Translations!$B$5</f>
        <v>Unit</v>
      </c>
      <c r="G246" s="125" t="str">
        <f>Translations!$B$1601</f>
        <v>Carbon leakage?</v>
      </c>
      <c r="H246" s="125" t="str">
        <f>Translations!$B$1602</f>
        <v>Benchmark value (EUA/t)</v>
      </c>
      <c r="I246" s="125" t="str">
        <f>Translations!$B$1603</f>
        <v>Exchangeability electricity</v>
      </c>
      <c r="J246" s="125" t="str">
        <f>Translations!$B$1604</f>
        <v>Message regarding special reporting</v>
      </c>
      <c r="K246" s="126" t="str">
        <f>Translations!$B$1605</f>
        <v>Jump indicator</v>
      </c>
      <c r="L246" s="476" t="str">
        <f>Translations!$B$1606</f>
        <v>SCUF</v>
      </c>
      <c r="M246" s="379" t="s">
        <v>950</v>
      </c>
    </row>
    <row r="247" spans="1:15" ht="12.75">
      <c r="A247" s="124" t="str">
        <f>VLOOKUP(B247,$A$214:$B$241,2,0)</f>
        <v>Refining of mineral oil </v>
      </c>
      <c r="B247" s="85">
        <v>2</v>
      </c>
      <c r="C247" s="85">
        <v>1</v>
      </c>
      <c r="D247" s="88" t="str">
        <f aca="true" t="shared" si="0" ref="D247:D278">CONCATENATE(TEXT(B247,"00"),".",TEXT(C247,"00"))</f>
        <v>02.01</v>
      </c>
      <c r="E247" s="119" t="str">
        <f>Translations!B166</f>
        <v>Refinery products</v>
      </c>
      <c r="F247" s="119" t="s">
        <v>1907</v>
      </c>
      <c r="G247" s="119" t="b">
        <v>1</v>
      </c>
      <c r="H247" s="127">
        <v>0.0295</v>
      </c>
      <c r="I247" s="119" t="b">
        <v>1</v>
      </c>
      <c r="J247" s="116" t="str">
        <f>Translations!$B$97</f>
        <v>Please use CWT tool in sheet "SpecialBM" for calculating historical activity levels.</v>
      </c>
      <c r="K247" s="128" t="str">
        <f>"#JUMP_H_I"</f>
        <v>#JUMP_H_I</v>
      </c>
      <c r="L247" s="475">
        <v>0.902</v>
      </c>
      <c r="N247" s="608"/>
      <c r="O247" s="608"/>
    </row>
    <row r="248" spans="1:15" ht="12.75">
      <c r="A248" s="124" t="str">
        <f aca="true" t="shared" si="1" ref="A248:A298">VLOOKUP(B248,$A$214:$B$241,2,0)</f>
        <v>Production of coke </v>
      </c>
      <c r="B248" s="85">
        <v>3</v>
      </c>
      <c r="C248" s="85">
        <f>C247+1</f>
        <v>2</v>
      </c>
      <c r="D248" s="88" t="str">
        <f t="shared" si="0"/>
        <v>03.02</v>
      </c>
      <c r="E248" s="119" t="str">
        <f>Translations!B167</f>
        <v>Coke</v>
      </c>
      <c r="F248" s="119" t="str">
        <f aca="true" t="shared" si="2" ref="F248:F272">EUconst_Tons</f>
        <v>tonnes</v>
      </c>
      <c r="G248" s="119" t="b">
        <v>1</v>
      </c>
      <c r="H248" s="127">
        <v>0.286</v>
      </c>
      <c r="I248" s="119" t="b">
        <v>0</v>
      </c>
      <c r="J248" s="116">
        <f>""</f>
      </c>
      <c r="K248" s="128">
        <f>""</f>
      </c>
      <c r="L248" s="475">
        <v>0.96</v>
      </c>
      <c r="N248" s="608"/>
      <c r="O248" s="608"/>
    </row>
    <row r="249" spans="1:15" ht="12.75">
      <c r="A249" s="124" t="str">
        <f t="shared" si="1"/>
        <v>Metal ore (including sulphide ore) roasting or sintering, including pelletisation </v>
      </c>
      <c r="B249" s="85">
        <v>4</v>
      </c>
      <c r="C249" s="85">
        <f aca="true" t="shared" si="3" ref="C249:C298">C248+1</f>
        <v>3</v>
      </c>
      <c r="D249" s="88" t="str">
        <f t="shared" si="0"/>
        <v>04.03</v>
      </c>
      <c r="E249" s="119" t="str">
        <f>Translations!B168</f>
        <v>Sintered ore</v>
      </c>
      <c r="F249" s="119" t="str">
        <f t="shared" si="2"/>
        <v>tonnes</v>
      </c>
      <c r="G249" s="119" t="b">
        <v>1</v>
      </c>
      <c r="H249" s="127">
        <v>0.171</v>
      </c>
      <c r="I249" s="119" t="b">
        <v>0</v>
      </c>
      <c r="J249" s="116">
        <f>""</f>
      </c>
      <c r="K249" s="128">
        <f>""</f>
      </c>
      <c r="L249" s="475">
        <v>0.886</v>
      </c>
      <c r="N249" s="608"/>
      <c r="O249" s="608"/>
    </row>
    <row r="250" spans="1:15" ht="12.75">
      <c r="A250" s="124" t="str">
        <f t="shared" si="1"/>
        <v>Production of pig iron or steel (primary or secondary fusion) including continuous casting, with a capacity exceeding 2,5 tonnes per hour </v>
      </c>
      <c r="B250" s="85">
        <v>5</v>
      </c>
      <c r="C250" s="85">
        <f t="shared" si="3"/>
        <v>4</v>
      </c>
      <c r="D250" s="88" t="str">
        <f t="shared" si="0"/>
        <v>05.04</v>
      </c>
      <c r="E250" s="119" t="str">
        <f>Translations!B169</f>
        <v>Hot metal</v>
      </c>
      <c r="F250" s="119" t="str">
        <f t="shared" si="2"/>
        <v>tonnes</v>
      </c>
      <c r="G250" s="119" t="b">
        <v>1</v>
      </c>
      <c r="H250" s="127">
        <v>1.328</v>
      </c>
      <c r="I250" s="119" t="b">
        <v>0</v>
      </c>
      <c r="J250" s="116">
        <f>""</f>
      </c>
      <c r="K250" s="128">
        <f>""</f>
      </c>
      <c r="L250" s="475">
        <v>0.894</v>
      </c>
      <c r="N250" s="608"/>
      <c r="O250" s="608"/>
    </row>
    <row r="251" spans="1:15" ht="12.75">
      <c r="A251" s="124" t="str">
        <f t="shared" si="1"/>
        <v>Production of pig iron or steel (primary or secondary fusion) including continuous casting, with a capacity exceeding 2,5 tonnes per hour </v>
      </c>
      <c r="B251" s="85">
        <v>5</v>
      </c>
      <c r="C251" s="85">
        <f t="shared" si="3"/>
        <v>5</v>
      </c>
      <c r="D251" s="88" t="str">
        <f t="shared" si="0"/>
        <v>05.05</v>
      </c>
      <c r="E251" s="119" t="str">
        <f>Translations!B170</f>
        <v>EAF carbon steel</v>
      </c>
      <c r="F251" s="119" t="str">
        <f t="shared" si="2"/>
        <v>tonnes</v>
      </c>
      <c r="G251" s="119" t="b">
        <v>1</v>
      </c>
      <c r="H251" s="129">
        <v>0.283</v>
      </c>
      <c r="I251" s="119" t="b">
        <v>1</v>
      </c>
      <c r="J251" s="116">
        <f>""</f>
      </c>
      <c r="K251" s="128">
        <f>""</f>
      </c>
      <c r="L251" s="475">
        <v>0.798</v>
      </c>
      <c r="N251" s="608"/>
      <c r="O251" s="608"/>
    </row>
    <row r="252" spans="1:15" ht="12.75">
      <c r="A252" s="124" t="str">
        <f t="shared" si="1"/>
        <v>Production of pig iron or steel (primary or secondary fusion) including continuous casting, with a capacity exceeding 2,5 tonnes per hour </v>
      </c>
      <c r="B252" s="85">
        <v>5</v>
      </c>
      <c r="C252" s="85">
        <f t="shared" si="3"/>
        <v>6</v>
      </c>
      <c r="D252" s="88" t="str">
        <f t="shared" si="0"/>
        <v>05.06</v>
      </c>
      <c r="E252" s="119" t="str">
        <f>Translations!B171</f>
        <v>EAF high alloy steel</v>
      </c>
      <c r="F252" s="119" t="str">
        <f t="shared" si="2"/>
        <v>tonnes</v>
      </c>
      <c r="G252" s="119" t="b">
        <v>1</v>
      </c>
      <c r="H252" s="129">
        <v>0.352</v>
      </c>
      <c r="I252" s="119" t="b">
        <v>1</v>
      </c>
      <c r="J252" s="116">
        <f>""</f>
      </c>
      <c r="K252" s="128">
        <f>""</f>
      </c>
      <c r="L252" s="475">
        <v>0.802</v>
      </c>
      <c r="N252" s="608"/>
      <c r="O252" s="608"/>
    </row>
    <row r="253" spans="1:15" ht="12.75">
      <c r="A253" s="124" t="str">
        <f t="shared" si="1"/>
        <v>Production or processing of ferrous metals (including ferro-alloys) where combustion units with a total rated thermal input exceeding 20 MW are operated. Processing includes, inter alia, rolling mills, re-heaters, annealing furnaces, smitheries, foun</v>
      </c>
      <c r="B253" s="85">
        <v>6</v>
      </c>
      <c r="C253" s="85">
        <f t="shared" si="3"/>
        <v>7</v>
      </c>
      <c r="D253" s="88" t="str">
        <f t="shared" si="0"/>
        <v>06.07</v>
      </c>
      <c r="E253" s="119" t="str">
        <f>Translations!B172</f>
        <v>Iron casting</v>
      </c>
      <c r="F253" s="119" t="str">
        <f t="shared" si="2"/>
        <v>tonnes</v>
      </c>
      <c r="G253" s="119" t="b">
        <v>1</v>
      </c>
      <c r="H253" s="127">
        <v>0.325</v>
      </c>
      <c r="I253" s="119" t="b">
        <v>1</v>
      </c>
      <c r="J253" s="116">
        <f>""</f>
      </c>
      <c r="K253" s="128">
        <f>""</f>
      </c>
      <c r="L253" s="475">
        <v>0.772</v>
      </c>
      <c r="N253" s="608"/>
      <c r="O253" s="608"/>
    </row>
    <row r="254" spans="1:15" ht="12.75">
      <c r="A254" s="124" t="str">
        <f t="shared" si="1"/>
        <v>Production of primary aluminium </v>
      </c>
      <c r="B254" s="85">
        <v>7</v>
      </c>
      <c r="C254" s="85">
        <f t="shared" si="3"/>
        <v>8</v>
      </c>
      <c r="D254" s="88" t="str">
        <f t="shared" si="0"/>
        <v>07.08</v>
      </c>
      <c r="E254" s="119" t="str">
        <f>Translations!B173</f>
        <v>Pre-bake anode</v>
      </c>
      <c r="F254" s="119" t="str">
        <f t="shared" si="2"/>
        <v>tonnes</v>
      </c>
      <c r="G254" s="119" t="b">
        <v>1</v>
      </c>
      <c r="H254" s="127">
        <v>0.324</v>
      </c>
      <c r="I254" s="119" t="b">
        <v>0</v>
      </c>
      <c r="J254" s="116">
        <f>""</f>
      </c>
      <c r="K254" s="128">
        <f>""</f>
      </c>
      <c r="L254" s="475">
        <v>0.928</v>
      </c>
      <c r="N254" s="608"/>
      <c r="O254" s="608"/>
    </row>
    <row r="255" spans="1:15" ht="12.75">
      <c r="A255" s="124" t="str">
        <f t="shared" si="1"/>
        <v>Production of primary aluminium </v>
      </c>
      <c r="B255" s="85">
        <v>7</v>
      </c>
      <c r="C255" s="85">
        <f t="shared" si="3"/>
        <v>9</v>
      </c>
      <c r="D255" s="88" t="str">
        <f t="shared" si="0"/>
        <v>07.09</v>
      </c>
      <c r="E255" s="119" t="str">
        <f>Translations!B174</f>
        <v>[Primary] Aluminium</v>
      </c>
      <c r="F255" s="119" t="str">
        <f t="shared" si="2"/>
        <v>tonnes</v>
      </c>
      <c r="G255" s="119" t="b">
        <v>1</v>
      </c>
      <c r="H255" s="127">
        <v>1.514</v>
      </c>
      <c r="I255" s="119" t="b">
        <v>0</v>
      </c>
      <c r="J255" s="116">
        <f>""</f>
      </c>
      <c r="K255" s="128">
        <f>""</f>
      </c>
      <c r="L255" s="475">
        <v>0.964</v>
      </c>
      <c r="N255" s="608"/>
      <c r="O255" s="608"/>
    </row>
    <row r="256" spans="1:15" ht="12.75">
      <c r="A256" s="124" t="str">
        <f t="shared" si="1"/>
        <v>Production of cement clinker in rotary kilns with a production capacity exceeding 500 tonnes per day or in other furnaces with a production capacity exceeding 50 tonnes per day </v>
      </c>
      <c r="B256" s="85">
        <v>10</v>
      </c>
      <c r="C256" s="85">
        <f t="shared" si="3"/>
        <v>10</v>
      </c>
      <c r="D256" s="88" t="str">
        <f t="shared" si="0"/>
        <v>10.10</v>
      </c>
      <c r="E256" s="119" t="str">
        <f>Translations!B175</f>
        <v>Grey cement clinker</v>
      </c>
      <c r="F256" s="119" t="str">
        <f t="shared" si="2"/>
        <v>tonnes</v>
      </c>
      <c r="G256" s="119" t="b">
        <v>1</v>
      </c>
      <c r="H256" s="129">
        <v>0.766</v>
      </c>
      <c r="I256" s="119" t="b">
        <v>0</v>
      </c>
      <c r="J256" s="116">
        <f>""</f>
      </c>
      <c r="K256" s="128">
        <f>""</f>
      </c>
      <c r="L256" s="475">
        <v>0.831</v>
      </c>
      <c r="N256" s="608"/>
      <c r="O256" s="608"/>
    </row>
    <row r="257" spans="1:15" ht="12.75">
      <c r="A257" s="124" t="str">
        <f t="shared" si="1"/>
        <v>Production of cement clinker in rotary kilns with a production capacity exceeding 500 tonnes per day or in other furnaces with a production capacity exceeding 50 tonnes per day </v>
      </c>
      <c r="B257" s="85">
        <v>10</v>
      </c>
      <c r="C257" s="85">
        <f t="shared" si="3"/>
        <v>11</v>
      </c>
      <c r="D257" s="88" t="str">
        <f t="shared" si="0"/>
        <v>10.11</v>
      </c>
      <c r="E257" s="119" t="str">
        <f>Translations!B176</f>
        <v>White cement clinker</v>
      </c>
      <c r="F257" s="119" t="str">
        <f t="shared" si="2"/>
        <v>tonnes</v>
      </c>
      <c r="G257" s="119" t="b">
        <v>1</v>
      </c>
      <c r="H257" s="127">
        <v>0.987</v>
      </c>
      <c r="I257" s="119" t="b">
        <v>0</v>
      </c>
      <c r="J257" s="116">
        <f>""</f>
      </c>
      <c r="K257" s="128">
        <f>""</f>
      </c>
      <c r="L257" s="475">
        <v>0.787</v>
      </c>
      <c r="N257" s="608"/>
      <c r="O257" s="608"/>
    </row>
    <row r="258" spans="1:15" ht="12.75">
      <c r="A258" s="124" t="str">
        <f t="shared" si="1"/>
        <v>Production of lime or calcination of dolomite or magnesite in rotary kilns or in other furnaces with a production capacity exceeding 50 tonnes per day </v>
      </c>
      <c r="B258" s="85">
        <v>11</v>
      </c>
      <c r="C258" s="85">
        <f t="shared" si="3"/>
        <v>12</v>
      </c>
      <c r="D258" s="88" t="str">
        <f t="shared" si="0"/>
        <v>11.12</v>
      </c>
      <c r="E258" s="119" t="str">
        <f>Translations!B177</f>
        <v>Lime</v>
      </c>
      <c r="F258" s="119" t="str">
        <f t="shared" si="2"/>
        <v>tonnes</v>
      </c>
      <c r="G258" s="119" t="b">
        <v>1</v>
      </c>
      <c r="H258" s="127">
        <v>0.954</v>
      </c>
      <c r="I258" s="119" t="b">
        <v>0</v>
      </c>
      <c r="J258" s="116" t="str">
        <f>Translations!$B$98</f>
        <v>Please use lime tool in sheet "SpecialBM" for calculating historical activity levels.</v>
      </c>
      <c r="K258" s="128" t="str">
        <f>"#JUMP_H_II"</f>
        <v>#JUMP_H_II</v>
      </c>
      <c r="L258" s="475">
        <v>0.813</v>
      </c>
      <c r="N258" s="608"/>
      <c r="O258" s="608"/>
    </row>
    <row r="259" spans="1:15" ht="12.75">
      <c r="A259" s="124" t="str">
        <f t="shared" si="1"/>
        <v>Production of lime or calcination of dolomite or magnesite in rotary kilns or in other furnaces with a production capacity exceeding 50 tonnes per day </v>
      </c>
      <c r="B259" s="85">
        <v>11</v>
      </c>
      <c r="C259" s="85">
        <f t="shared" si="3"/>
        <v>13</v>
      </c>
      <c r="D259" s="88" t="str">
        <f t="shared" si="0"/>
        <v>11.13</v>
      </c>
      <c r="E259" s="119" t="str">
        <f>Translations!B178</f>
        <v>Dolime</v>
      </c>
      <c r="F259" s="119" t="str">
        <f t="shared" si="2"/>
        <v>tonnes</v>
      </c>
      <c r="G259" s="119" t="b">
        <v>1</v>
      </c>
      <c r="H259" s="127">
        <v>1.072</v>
      </c>
      <c r="I259" s="119" t="b">
        <v>0</v>
      </c>
      <c r="J259" s="116" t="str">
        <f>Translations!$B$99</f>
        <v>Please use dolime tool in sheet "SpecialBM" for calculating historical activity levels.</v>
      </c>
      <c r="K259" s="128" t="str">
        <f>"#JUMP_H_III"</f>
        <v>#JUMP_H_III</v>
      </c>
      <c r="L259" s="475">
        <v>0.748</v>
      </c>
      <c r="N259" s="608"/>
      <c r="O259" s="608"/>
    </row>
    <row r="260" spans="1:15" ht="12.75">
      <c r="A260" s="124" t="str">
        <f t="shared" si="1"/>
        <v>Production of lime or calcination of dolomite or magnesite in rotary kilns or in other furnaces with a production capacity exceeding 50 tonnes per day </v>
      </c>
      <c r="B260" s="85">
        <v>11</v>
      </c>
      <c r="C260" s="85">
        <f t="shared" si="3"/>
        <v>14</v>
      </c>
      <c r="D260" s="88" t="str">
        <f t="shared" si="0"/>
        <v>11.14</v>
      </c>
      <c r="E260" s="119" t="str">
        <f>Translations!B179</f>
        <v>Sintered dolime</v>
      </c>
      <c r="F260" s="119" t="str">
        <f t="shared" si="2"/>
        <v>tonnes</v>
      </c>
      <c r="G260" s="119" t="b">
        <v>1</v>
      </c>
      <c r="H260" s="127">
        <v>1.449</v>
      </c>
      <c r="I260" s="119" t="b">
        <v>0</v>
      </c>
      <c r="J260" s="130"/>
      <c r="K260" s="128">
        <f>""</f>
      </c>
      <c r="L260" s="475">
        <v>0.784</v>
      </c>
      <c r="N260" s="608"/>
      <c r="O260" s="608"/>
    </row>
    <row r="261" spans="1:15" ht="12.75">
      <c r="A261" s="124" t="str">
        <f t="shared" si="1"/>
        <v>Manufacture of glass including glass fibre with a melting capacity exceeding 20 tonnes per day </v>
      </c>
      <c r="B261" s="85">
        <v>12</v>
      </c>
      <c r="C261" s="85">
        <f t="shared" si="3"/>
        <v>15</v>
      </c>
      <c r="D261" s="88" t="str">
        <f t="shared" si="0"/>
        <v>12.15</v>
      </c>
      <c r="E261" s="119" t="str">
        <f>Translations!B180</f>
        <v>Float glass</v>
      </c>
      <c r="F261" s="119" t="str">
        <f t="shared" si="2"/>
        <v>tonnes</v>
      </c>
      <c r="G261" s="119" t="b">
        <v>1</v>
      </c>
      <c r="H261" s="127">
        <v>0.453</v>
      </c>
      <c r="I261" s="119" t="b">
        <v>0</v>
      </c>
      <c r="J261" s="116">
        <f>""</f>
      </c>
      <c r="K261" s="128">
        <f>""</f>
      </c>
      <c r="L261" s="475">
        <v>0.946</v>
      </c>
      <c r="N261" s="608"/>
      <c r="O261" s="608"/>
    </row>
    <row r="262" spans="1:15" ht="12.75">
      <c r="A262" s="124" t="str">
        <f t="shared" si="1"/>
        <v>Manufacture of glass including glass fibre with a melting capacity exceeding 20 tonnes per day </v>
      </c>
      <c r="B262" s="85">
        <v>12</v>
      </c>
      <c r="C262" s="85">
        <f t="shared" si="3"/>
        <v>16</v>
      </c>
      <c r="D262" s="88" t="str">
        <f t="shared" si="0"/>
        <v>12.16</v>
      </c>
      <c r="E262" s="119" t="str">
        <f>Translations!B181</f>
        <v>Bottles and jars of colourless glass</v>
      </c>
      <c r="F262" s="119" t="str">
        <f t="shared" si="2"/>
        <v>tonnes</v>
      </c>
      <c r="G262" s="119" t="b">
        <v>1</v>
      </c>
      <c r="H262" s="127">
        <v>0.382</v>
      </c>
      <c r="I262" s="119" t="b">
        <v>0</v>
      </c>
      <c r="J262" s="116">
        <f>""</f>
      </c>
      <c r="K262" s="128">
        <f>""</f>
      </c>
      <c r="L262" s="475">
        <v>0.883</v>
      </c>
      <c r="N262" s="608"/>
      <c r="O262" s="608"/>
    </row>
    <row r="263" spans="1:15" ht="12.75">
      <c r="A263" s="124" t="str">
        <f t="shared" si="1"/>
        <v>Manufacture of glass including glass fibre with a melting capacity exceeding 20 tonnes per day </v>
      </c>
      <c r="B263" s="85">
        <v>12</v>
      </c>
      <c r="C263" s="85">
        <f t="shared" si="3"/>
        <v>17</v>
      </c>
      <c r="D263" s="88" t="str">
        <f t="shared" si="0"/>
        <v>12.17</v>
      </c>
      <c r="E263" s="119" t="str">
        <f>Translations!B182</f>
        <v>Bottles and jars of coloured glass</v>
      </c>
      <c r="F263" s="119" t="str">
        <f t="shared" si="2"/>
        <v>tonnes</v>
      </c>
      <c r="G263" s="119" t="b">
        <v>1</v>
      </c>
      <c r="H263" s="127">
        <v>0.306</v>
      </c>
      <c r="I263" s="119" t="b">
        <v>0</v>
      </c>
      <c r="J263" s="116">
        <f>""</f>
      </c>
      <c r="K263" s="128">
        <f>""</f>
      </c>
      <c r="L263" s="475">
        <v>0.912</v>
      </c>
      <c r="N263" s="608"/>
      <c r="O263" s="608"/>
    </row>
    <row r="264" spans="1:15" ht="12.75">
      <c r="A264" s="124" t="str">
        <f t="shared" si="1"/>
        <v>Manufacture of glass including glass fibre with a melting capacity exceeding 20 tonnes per day </v>
      </c>
      <c r="B264" s="85">
        <v>12</v>
      </c>
      <c r="C264" s="85">
        <f t="shared" si="3"/>
        <v>18</v>
      </c>
      <c r="D264" s="88" t="str">
        <f t="shared" si="0"/>
        <v>12.18</v>
      </c>
      <c r="E264" s="119" t="str">
        <f>Translations!B183</f>
        <v>Continuous filament glass fibre products</v>
      </c>
      <c r="F264" s="119" t="str">
        <f t="shared" si="2"/>
        <v>tonnes</v>
      </c>
      <c r="G264" s="119" t="b">
        <v>1</v>
      </c>
      <c r="H264" s="127">
        <v>0.406</v>
      </c>
      <c r="I264" s="119" t="b">
        <v>0</v>
      </c>
      <c r="J264" s="116">
        <f>""</f>
      </c>
      <c r="K264" s="128">
        <f>""</f>
      </c>
      <c r="L264" s="475">
        <v>0.892</v>
      </c>
      <c r="N264" s="608"/>
      <c r="O264" s="608"/>
    </row>
    <row r="265" spans="1:15" ht="12.75">
      <c r="A265" s="124" t="str">
        <f t="shared" si="1"/>
        <v>Manufacture of ceramic products by firing, in particular roofing tiles, bricks, refractory bricks, tiles, stoneware or porcelain, with a production capacity exceeding 75 tonnes per day </v>
      </c>
      <c r="B265" s="85">
        <v>13</v>
      </c>
      <c r="C265" s="85">
        <f t="shared" si="3"/>
        <v>19</v>
      </c>
      <c r="D265" s="88" t="str">
        <f t="shared" si="0"/>
        <v>13.19</v>
      </c>
      <c r="E265" s="119" t="str">
        <f>Translations!B184</f>
        <v>Facing bricks</v>
      </c>
      <c r="F265" s="119" t="str">
        <f t="shared" si="2"/>
        <v>tonnes</v>
      </c>
      <c r="G265" s="365" t="b">
        <v>1</v>
      </c>
      <c r="H265" s="127">
        <v>0.139</v>
      </c>
      <c r="I265" s="119" t="b">
        <v>0</v>
      </c>
      <c r="J265" s="116">
        <f>""</f>
      </c>
      <c r="K265" s="128">
        <f>""</f>
      </c>
      <c r="L265" s="475">
        <v>0.809</v>
      </c>
      <c r="N265" s="608"/>
      <c r="O265" s="608"/>
    </row>
    <row r="266" spans="1:15" ht="12.75">
      <c r="A266" s="124" t="str">
        <f t="shared" si="1"/>
        <v>Manufacture of ceramic products by firing, in particular roofing tiles, bricks, refractory bricks, tiles, stoneware or porcelain, with a production capacity exceeding 75 tonnes per day </v>
      </c>
      <c r="B266" s="85">
        <v>13</v>
      </c>
      <c r="C266" s="85">
        <f t="shared" si="3"/>
        <v>20</v>
      </c>
      <c r="D266" s="88" t="str">
        <f t="shared" si="0"/>
        <v>13.20</v>
      </c>
      <c r="E266" s="119" t="str">
        <f>Translations!B185</f>
        <v>Pavers</v>
      </c>
      <c r="F266" s="119" t="str">
        <f t="shared" si="2"/>
        <v>tonnes</v>
      </c>
      <c r="G266" s="365" t="b">
        <v>1</v>
      </c>
      <c r="H266" s="127">
        <v>0.192</v>
      </c>
      <c r="I266" s="119" t="b">
        <v>0</v>
      </c>
      <c r="J266" s="116">
        <f>""</f>
      </c>
      <c r="K266" s="128">
        <f>""</f>
      </c>
      <c r="L266" s="475">
        <v>0.731</v>
      </c>
      <c r="N266" s="608"/>
      <c r="O266" s="608"/>
    </row>
    <row r="267" spans="1:15" ht="12.75">
      <c r="A267" s="124" t="str">
        <f t="shared" si="1"/>
        <v>Manufacture of ceramic products by firing, in particular roofing tiles, bricks, refractory bricks, tiles, stoneware or porcelain, with a production capacity exceeding 75 tonnes per day </v>
      </c>
      <c r="B267" s="85">
        <v>13</v>
      </c>
      <c r="C267" s="85">
        <f t="shared" si="3"/>
        <v>21</v>
      </c>
      <c r="D267" s="88" t="str">
        <f t="shared" si="0"/>
        <v>13.21</v>
      </c>
      <c r="E267" s="119" t="str">
        <f>Translations!B186</f>
        <v>Roof tiles</v>
      </c>
      <c r="F267" s="119" t="str">
        <f t="shared" si="2"/>
        <v>tonnes</v>
      </c>
      <c r="G267" s="365" t="b">
        <v>1</v>
      </c>
      <c r="H267" s="127">
        <v>0.144</v>
      </c>
      <c r="I267" s="119" t="b">
        <v>0</v>
      </c>
      <c r="J267" s="116">
        <f>""</f>
      </c>
      <c r="K267" s="128">
        <f>""</f>
      </c>
      <c r="L267" s="475">
        <v>0.836</v>
      </c>
      <c r="N267" s="608"/>
      <c r="O267" s="608"/>
    </row>
    <row r="268" spans="1:15" ht="12.75">
      <c r="A268" s="124" t="str">
        <f t="shared" si="1"/>
        <v>Manufacture of ceramic products by firing, in particular roofing tiles, bricks, refractory bricks, tiles, stoneware or porcelain, with a production capacity exceeding 75 tonnes per day </v>
      </c>
      <c r="B268" s="85">
        <v>13</v>
      </c>
      <c r="C268" s="85">
        <f t="shared" si="3"/>
        <v>22</v>
      </c>
      <c r="D268" s="88" t="str">
        <f t="shared" si="0"/>
        <v>13.22</v>
      </c>
      <c r="E268" s="119" t="str">
        <f>Translations!B187</f>
        <v>Spray dried powder</v>
      </c>
      <c r="F268" s="119" t="str">
        <f t="shared" si="2"/>
        <v>tonnes</v>
      </c>
      <c r="G268" s="119" t="b">
        <v>1</v>
      </c>
      <c r="H268" s="127">
        <v>0.076</v>
      </c>
      <c r="I268" s="119" t="b">
        <v>0</v>
      </c>
      <c r="J268" s="116">
        <f>""</f>
      </c>
      <c r="K268" s="128">
        <f>""</f>
      </c>
      <c r="L268" s="475">
        <v>0.802</v>
      </c>
      <c r="N268" s="608"/>
      <c r="O268" s="608"/>
    </row>
    <row r="269" spans="1:15" ht="12.75">
      <c r="A269" s="124" t="str">
        <f t="shared" si="1"/>
        <v>Manufacture of mineral wool insulation material using glass, rock or slag with a melting capacity exceeding 20 tonnes per day </v>
      </c>
      <c r="B269" s="85">
        <v>14</v>
      </c>
      <c r="C269" s="85">
        <f t="shared" si="3"/>
        <v>23</v>
      </c>
      <c r="D269" s="88" t="str">
        <f t="shared" si="0"/>
        <v>14.23</v>
      </c>
      <c r="E269" s="119" t="str">
        <f>Translations!B188</f>
        <v>Mineral wool</v>
      </c>
      <c r="F269" s="119" t="str">
        <f t="shared" si="2"/>
        <v>tonnes</v>
      </c>
      <c r="G269" s="365" t="b">
        <v>1</v>
      </c>
      <c r="H269" s="127">
        <v>0.682</v>
      </c>
      <c r="I269" s="119" t="b">
        <v>1</v>
      </c>
      <c r="J269" s="116">
        <f>""</f>
      </c>
      <c r="K269" s="128">
        <f>""</f>
      </c>
      <c r="L269" s="475">
        <v>0.851</v>
      </c>
      <c r="N269" s="608"/>
      <c r="O269" s="608"/>
    </row>
    <row r="270" spans="1:15" ht="12.75">
      <c r="A270" s="124" t="str">
        <f t="shared" si="1"/>
        <v>Drying or calcination of gypsum or production of plaster boards and other gypsum products, where combustion units with a total rated thermal input exceeding 20 MW are operated </v>
      </c>
      <c r="B270" s="85">
        <v>15</v>
      </c>
      <c r="C270" s="85">
        <f t="shared" si="3"/>
        <v>24</v>
      </c>
      <c r="D270" s="88" t="str">
        <f t="shared" si="0"/>
        <v>15.24</v>
      </c>
      <c r="E270" s="119" t="str">
        <f>Translations!B189</f>
        <v>Plaster</v>
      </c>
      <c r="F270" s="119" t="str">
        <f t="shared" si="2"/>
        <v>tonnes</v>
      </c>
      <c r="G270" s="119" t="b">
        <v>0</v>
      </c>
      <c r="H270" s="127">
        <v>0.048</v>
      </c>
      <c r="I270" s="119" t="b">
        <v>0</v>
      </c>
      <c r="J270" s="116">
        <f>""</f>
      </c>
      <c r="K270" s="128">
        <f>""</f>
      </c>
      <c r="L270" s="475">
        <v>0.801</v>
      </c>
      <c r="N270" s="608"/>
      <c r="O270" s="608"/>
    </row>
    <row r="271" spans="1:15" ht="12.75">
      <c r="A271" s="124" t="str">
        <f t="shared" si="1"/>
        <v>Drying or calcination of gypsum or production of plaster boards and other gypsum products, where combustion units with a total rated thermal input exceeding 20 MW are operated </v>
      </c>
      <c r="B271" s="85">
        <v>15</v>
      </c>
      <c r="C271" s="85">
        <f t="shared" si="3"/>
        <v>25</v>
      </c>
      <c r="D271" s="88" t="str">
        <f t="shared" si="0"/>
        <v>15.25</v>
      </c>
      <c r="E271" s="119" t="str">
        <f>Translations!B190</f>
        <v>Dried secondary gypsum</v>
      </c>
      <c r="F271" s="119" t="str">
        <f t="shared" si="2"/>
        <v>tonnes</v>
      </c>
      <c r="G271" s="119" t="b">
        <v>0</v>
      </c>
      <c r="H271" s="127">
        <v>0.017</v>
      </c>
      <c r="I271" s="119" t="b">
        <v>0</v>
      </c>
      <c r="J271" s="116">
        <f>""</f>
      </c>
      <c r="K271" s="128">
        <f>""</f>
      </c>
      <c r="L271" s="475">
        <v>0.812</v>
      </c>
      <c r="N271" s="608"/>
      <c r="O271" s="608"/>
    </row>
    <row r="272" spans="1:15" ht="12.75">
      <c r="A272" s="124" t="str">
        <f t="shared" si="1"/>
        <v>Drying or calcination of gypsum or production of plaster boards and other gypsum products, where combustion units with a total rated thermal input exceeding 20 MW are operated </v>
      </c>
      <c r="B272" s="85">
        <v>15</v>
      </c>
      <c r="C272" s="85">
        <f t="shared" si="3"/>
        <v>26</v>
      </c>
      <c r="D272" s="88" t="str">
        <f t="shared" si="0"/>
        <v>15.26</v>
      </c>
      <c r="E272" s="119" t="str">
        <f>Translations!B191</f>
        <v>Plasterboard</v>
      </c>
      <c r="F272" s="119" t="str">
        <f t="shared" si="2"/>
        <v>tonnes</v>
      </c>
      <c r="G272" s="119" t="b">
        <v>0</v>
      </c>
      <c r="H272" s="127">
        <v>0.131</v>
      </c>
      <c r="I272" s="119" t="b">
        <v>1</v>
      </c>
      <c r="J272" s="116">
        <f>""</f>
      </c>
      <c r="K272" s="128">
        <f>""</f>
      </c>
      <c r="L272" s="475">
        <v>0.843</v>
      </c>
      <c r="N272" s="608"/>
      <c r="O272" s="608"/>
    </row>
    <row r="273" spans="1:15" ht="12.75">
      <c r="A273" s="124" t="str">
        <f t="shared" si="1"/>
        <v>Production of pulp from timber or other fibrous materials </v>
      </c>
      <c r="B273" s="85">
        <v>16</v>
      </c>
      <c r="C273" s="85">
        <f t="shared" si="3"/>
        <v>27</v>
      </c>
      <c r="D273" s="88" t="str">
        <f t="shared" si="0"/>
        <v>16.27</v>
      </c>
      <c r="E273" s="119" t="str">
        <f>Translations!B192</f>
        <v>Short fibre kraft pulp</v>
      </c>
      <c r="F273" s="119" t="s">
        <v>1065</v>
      </c>
      <c r="G273" s="119" t="b">
        <v>1</v>
      </c>
      <c r="H273" s="127">
        <v>0.12</v>
      </c>
      <c r="I273" s="119" t="b">
        <v>0</v>
      </c>
      <c r="J273" s="130" t="str">
        <f>Translations!$B$100</f>
        <v>Note that for integrated pulp &amp; paper production special allocation rules apply (Article 10(7) of the CIMs).</v>
      </c>
      <c r="K273" s="128">
        <f>""</f>
      </c>
      <c r="L273" s="475">
        <v>0.808</v>
      </c>
      <c r="N273" s="608"/>
      <c r="O273" s="608"/>
    </row>
    <row r="274" spans="1:15" ht="12.75">
      <c r="A274" s="124" t="str">
        <f t="shared" si="1"/>
        <v>Production of pulp from timber or other fibrous materials </v>
      </c>
      <c r="B274" s="85">
        <v>16</v>
      </c>
      <c r="C274" s="85">
        <f t="shared" si="3"/>
        <v>28</v>
      </c>
      <c r="D274" s="88" t="str">
        <f t="shared" si="0"/>
        <v>16.28</v>
      </c>
      <c r="E274" s="119" t="str">
        <f>Translations!B193</f>
        <v>Long fibre kraft pulp</v>
      </c>
      <c r="F274" s="119" t="s">
        <v>1065</v>
      </c>
      <c r="G274" s="119" t="b">
        <v>1</v>
      </c>
      <c r="H274" s="127">
        <v>0.06</v>
      </c>
      <c r="I274" s="119" t="b">
        <v>0</v>
      </c>
      <c r="J274" s="130" t="str">
        <f>Translations!$B$100</f>
        <v>Note that for integrated pulp &amp; paper production special allocation rules apply (Article 10(7) of the CIMs).</v>
      </c>
      <c r="K274" s="128">
        <f>""</f>
      </c>
      <c r="L274" s="475">
        <v>0.823</v>
      </c>
      <c r="N274" s="608"/>
      <c r="O274" s="608"/>
    </row>
    <row r="275" spans="1:15" ht="12.75">
      <c r="A275" s="124" t="str">
        <f t="shared" si="1"/>
        <v>Production of pulp from timber or other fibrous materials </v>
      </c>
      <c r="B275" s="85">
        <v>16</v>
      </c>
      <c r="C275" s="85">
        <f t="shared" si="3"/>
        <v>29</v>
      </c>
      <c r="D275" s="88" t="str">
        <f t="shared" si="0"/>
        <v>16.29</v>
      </c>
      <c r="E275" s="119" t="str">
        <f>Translations!B194</f>
        <v>Sulphite pulp, thermo-mechanical and mechanical pulp</v>
      </c>
      <c r="F275" s="119" t="s">
        <v>1065</v>
      </c>
      <c r="G275" s="119" t="b">
        <v>1</v>
      </c>
      <c r="H275" s="127">
        <v>0.02</v>
      </c>
      <c r="I275" s="119" t="b">
        <v>0</v>
      </c>
      <c r="J275" s="130" t="str">
        <f>Translations!$B$100</f>
        <v>Note that for integrated pulp &amp; paper production special allocation rules apply (Article 10(7) of the CIMs).</v>
      </c>
      <c r="K275" s="128">
        <f>""</f>
      </c>
      <c r="L275" s="475">
        <v>0.862</v>
      </c>
      <c r="N275" s="608"/>
      <c r="O275" s="608"/>
    </row>
    <row r="276" spans="1:15" ht="12.75">
      <c r="A276" s="124" t="str">
        <f t="shared" si="1"/>
        <v>Production of pulp from timber or other fibrous materials </v>
      </c>
      <c r="B276" s="85">
        <v>16</v>
      </c>
      <c r="C276" s="85">
        <f t="shared" si="3"/>
        <v>30</v>
      </c>
      <c r="D276" s="88" t="str">
        <f t="shared" si="0"/>
        <v>16.30</v>
      </c>
      <c r="E276" s="119" t="str">
        <f>Translations!B195</f>
        <v>Recovered paper pulp</v>
      </c>
      <c r="F276" s="119" t="s">
        <v>1065</v>
      </c>
      <c r="G276" s="119" t="b">
        <v>1</v>
      </c>
      <c r="H276" s="127">
        <v>0.039</v>
      </c>
      <c r="I276" s="119" t="b">
        <v>0</v>
      </c>
      <c r="J276" s="116">
        <f>""</f>
      </c>
      <c r="K276" s="128">
        <f>""</f>
      </c>
      <c r="L276" s="475">
        <v>0.887</v>
      </c>
      <c r="N276" s="608"/>
      <c r="O276" s="608"/>
    </row>
    <row r="277" spans="1:15" ht="12.75">
      <c r="A277" s="124" t="str">
        <f t="shared" si="1"/>
        <v>Production of paper or cardboard with a production capacity exceeding 20 tonnes per day </v>
      </c>
      <c r="B277" s="85">
        <v>17</v>
      </c>
      <c r="C277" s="85">
        <f t="shared" si="3"/>
        <v>31</v>
      </c>
      <c r="D277" s="88" t="str">
        <f t="shared" si="0"/>
        <v>17.31</v>
      </c>
      <c r="E277" s="119" t="str">
        <f>Translations!B196</f>
        <v>Newsprint</v>
      </c>
      <c r="F277" s="119" t="s">
        <v>1065</v>
      </c>
      <c r="G277" s="119" t="b">
        <v>1</v>
      </c>
      <c r="H277" s="127">
        <v>0.298</v>
      </c>
      <c r="I277" s="119" t="b">
        <v>0</v>
      </c>
      <c r="J277" s="116">
        <f>""</f>
      </c>
      <c r="K277" s="128">
        <f>""</f>
      </c>
      <c r="L277" s="475">
        <v>0.919</v>
      </c>
      <c r="N277" s="608"/>
      <c r="O277" s="608"/>
    </row>
    <row r="278" spans="1:15" ht="12.75">
      <c r="A278" s="124" t="str">
        <f t="shared" si="1"/>
        <v>Production of paper or cardboard with a production capacity exceeding 20 tonnes per day </v>
      </c>
      <c r="B278" s="85">
        <v>17</v>
      </c>
      <c r="C278" s="85">
        <f t="shared" si="3"/>
        <v>32</v>
      </c>
      <c r="D278" s="88" t="str">
        <f t="shared" si="0"/>
        <v>17.32</v>
      </c>
      <c r="E278" s="119" t="str">
        <f>Translations!B197</f>
        <v>Uncoated fine paper</v>
      </c>
      <c r="F278" s="119" t="s">
        <v>1065</v>
      </c>
      <c r="G278" s="119" t="b">
        <v>1</v>
      </c>
      <c r="H278" s="127">
        <v>0.318</v>
      </c>
      <c r="I278" s="119" t="b">
        <v>0</v>
      </c>
      <c r="J278" s="116">
        <f>""</f>
      </c>
      <c r="K278" s="128">
        <f>""</f>
      </c>
      <c r="L278" s="475">
        <v>0.872</v>
      </c>
      <c r="N278" s="608"/>
      <c r="O278" s="608"/>
    </row>
    <row r="279" spans="1:15" ht="12.75">
      <c r="A279" s="124" t="str">
        <f t="shared" si="1"/>
        <v>Production of paper or cardboard with a production capacity exceeding 20 tonnes per day </v>
      </c>
      <c r="B279" s="85">
        <v>17</v>
      </c>
      <c r="C279" s="85">
        <f t="shared" si="3"/>
        <v>33</v>
      </c>
      <c r="D279" s="88" t="str">
        <f aca="true" t="shared" si="4" ref="D279:D298">CONCATENATE(TEXT(B279,"00"),".",TEXT(C279,"00"))</f>
        <v>17.33</v>
      </c>
      <c r="E279" s="119" t="str">
        <f>Translations!B198</f>
        <v>Coated fine paper</v>
      </c>
      <c r="F279" s="119" t="s">
        <v>1065</v>
      </c>
      <c r="G279" s="119" t="b">
        <v>1</v>
      </c>
      <c r="H279" s="127">
        <v>0.318</v>
      </c>
      <c r="I279" s="119" t="b">
        <v>0</v>
      </c>
      <c r="J279" s="116">
        <f>""</f>
      </c>
      <c r="K279" s="128">
        <f>""</f>
      </c>
      <c r="L279" s="475">
        <v>0.883</v>
      </c>
      <c r="N279" s="608"/>
      <c r="O279" s="608"/>
    </row>
    <row r="280" spans="1:15" ht="12.75">
      <c r="A280" s="124" t="str">
        <f t="shared" si="1"/>
        <v>Production of paper or cardboard with a production capacity exceeding 20 tonnes per day </v>
      </c>
      <c r="B280" s="85">
        <v>17</v>
      </c>
      <c r="C280" s="85">
        <f t="shared" si="3"/>
        <v>34</v>
      </c>
      <c r="D280" s="88" t="str">
        <f t="shared" si="4"/>
        <v>17.34</v>
      </c>
      <c r="E280" s="119" t="str">
        <f>Translations!B199</f>
        <v>Tissue</v>
      </c>
      <c r="F280" s="119" t="str">
        <f>EUconst_Tons</f>
        <v>tonnes</v>
      </c>
      <c r="G280" s="119" t="b">
        <v>1</v>
      </c>
      <c r="H280" s="127">
        <v>0.334</v>
      </c>
      <c r="I280" s="119" t="b">
        <v>0</v>
      </c>
      <c r="J280" s="116">
        <f>""</f>
      </c>
      <c r="K280" s="128">
        <f>""</f>
      </c>
      <c r="L280" s="475">
        <v>0.9</v>
      </c>
      <c r="N280" s="608"/>
      <c r="O280" s="608"/>
    </row>
    <row r="281" spans="1:15" ht="12.75">
      <c r="A281" s="124" t="str">
        <f t="shared" si="1"/>
        <v>Production of paper or cardboard with a production capacity exceeding 20 tonnes per day </v>
      </c>
      <c r="B281" s="85">
        <v>17</v>
      </c>
      <c r="C281" s="85">
        <f t="shared" si="3"/>
        <v>35</v>
      </c>
      <c r="D281" s="88" t="str">
        <f t="shared" si="4"/>
        <v>17.35</v>
      </c>
      <c r="E281" s="119" t="str">
        <f>Translations!B200</f>
        <v>Testliner and fluting</v>
      </c>
      <c r="F281" s="119" t="s">
        <v>1065</v>
      </c>
      <c r="G281" s="119" t="b">
        <v>1</v>
      </c>
      <c r="H281" s="127">
        <v>0.248</v>
      </c>
      <c r="I281" s="119" t="b">
        <v>0</v>
      </c>
      <c r="J281" s="116">
        <f>""</f>
      </c>
      <c r="K281" s="128">
        <f>""</f>
      </c>
      <c r="L281" s="475">
        <v>0.889</v>
      </c>
      <c r="N281" s="608"/>
      <c r="O281" s="608"/>
    </row>
    <row r="282" spans="1:15" ht="12.75">
      <c r="A282" s="124" t="str">
        <f>VLOOKUP(B282,$A$214:$B$241,2,0)</f>
        <v>Production of paper or cardboard with a production capacity exceeding 20 tonnes per day </v>
      </c>
      <c r="B282" s="85">
        <v>17</v>
      </c>
      <c r="C282" s="85">
        <f t="shared" si="3"/>
        <v>36</v>
      </c>
      <c r="D282" s="88" t="str">
        <f t="shared" si="4"/>
        <v>17.36</v>
      </c>
      <c r="E282" s="119" t="str">
        <f>Translations!B201</f>
        <v>Uncoated carton board</v>
      </c>
      <c r="F282" s="119" t="s">
        <v>1065</v>
      </c>
      <c r="G282" s="119" t="b">
        <v>1</v>
      </c>
      <c r="H282" s="127">
        <v>0.237</v>
      </c>
      <c r="I282" s="119" t="b">
        <v>0</v>
      </c>
      <c r="J282" s="116">
        <f>""</f>
      </c>
      <c r="K282" s="128">
        <f>""</f>
      </c>
      <c r="L282" s="475">
        <v>0.863</v>
      </c>
      <c r="N282" s="608"/>
      <c r="O282" s="608"/>
    </row>
    <row r="283" spans="1:15" ht="12.75">
      <c r="A283" s="124" t="str">
        <f t="shared" si="1"/>
        <v>Production of paper or cardboard with a production capacity exceeding 20 tonnes per day </v>
      </c>
      <c r="B283" s="85">
        <v>17</v>
      </c>
      <c r="C283" s="85">
        <f t="shared" si="3"/>
        <v>37</v>
      </c>
      <c r="D283" s="88" t="str">
        <f t="shared" si="4"/>
        <v>17.37</v>
      </c>
      <c r="E283" s="119" t="str">
        <f>Translations!B202</f>
        <v>Coated carton board</v>
      </c>
      <c r="F283" s="119" t="s">
        <v>1065</v>
      </c>
      <c r="G283" s="119" t="b">
        <v>1</v>
      </c>
      <c r="H283" s="127">
        <v>0.273</v>
      </c>
      <c r="I283" s="119" t="b">
        <v>0</v>
      </c>
      <c r="J283" s="116">
        <f>""</f>
      </c>
      <c r="K283" s="128">
        <f>""</f>
      </c>
      <c r="L283" s="475">
        <v>0.868</v>
      </c>
      <c r="N283" s="608"/>
      <c r="O283" s="608"/>
    </row>
    <row r="284" spans="1:15" ht="12.75">
      <c r="A284" s="124" t="str">
        <f t="shared" si="1"/>
        <v>Production of carbon black involving the carbonisation of organic substances such as oils, tars, cracker and distillation residues, where combustion units with a total rated thermal input exceeding 20 MW are operated </v>
      </c>
      <c r="B284" s="85">
        <v>18</v>
      </c>
      <c r="C284" s="85">
        <f t="shared" si="3"/>
        <v>38</v>
      </c>
      <c r="D284" s="88" t="str">
        <f t="shared" si="4"/>
        <v>18.38</v>
      </c>
      <c r="E284" s="119" t="str">
        <f>Translations!B203</f>
        <v>Carbon black</v>
      </c>
      <c r="F284" s="119" t="str">
        <f>EUconst_Tons</f>
        <v>tonnes</v>
      </c>
      <c r="G284" s="119" t="b">
        <v>1</v>
      </c>
      <c r="H284" s="129">
        <v>1.954</v>
      </c>
      <c r="I284" s="119" t="b">
        <v>1</v>
      </c>
      <c r="J284" s="116">
        <f>""</f>
      </c>
      <c r="K284" s="128">
        <f>""</f>
      </c>
      <c r="L284" s="475">
        <v>0.865</v>
      </c>
      <c r="N284" s="608"/>
      <c r="O284" s="608"/>
    </row>
    <row r="285" spans="1:15" ht="12.75">
      <c r="A285" s="124" t="str">
        <f t="shared" si="1"/>
        <v>Production of nitric acid </v>
      </c>
      <c r="B285" s="85">
        <v>19</v>
      </c>
      <c r="C285" s="85">
        <f t="shared" si="3"/>
        <v>39</v>
      </c>
      <c r="D285" s="88" t="str">
        <f t="shared" si="4"/>
        <v>19.39</v>
      </c>
      <c r="E285" s="119" t="str">
        <f>Translations!B204</f>
        <v>Nitric acid</v>
      </c>
      <c r="F285" s="119" t="str">
        <f>EUconst_Tons</f>
        <v>tonnes</v>
      </c>
      <c r="G285" s="119" t="b">
        <v>1</v>
      </c>
      <c r="H285" s="129">
        <v>0.302</v>
      </c>
      <c r="I285" s="119" t="b">
        <v>0</v>
      </c>
      <c r="J285" s="130" t="str">
        <f>Translations!$B$101</f>
        <v>Measurable heat delivered to other sub-installations is to be treated like heat from non-ETS sources.</v>
      </c>
      <c r="K285" s="128">
        <f>""</f>
      </c>
      <c r="L285" s="475">
        <v>0.876</v>
      </c>
      <c r="N285" s="608"/>
      <c r="O285" s="608"/>
    </row>
    <row r="286" spans="1:15" ht="12.75">
      <c r="A286" s="124" t="str">
        <f t="shared" si="1"/>
        <v>Production of adipic acid </v>
      </c>
      <c r="B286" s="85">
        <v>20</v>
      </c>
      <c r="C286" s="85">
        <f t="shared" si="3"/>
        <v>40</v>
      </c>
      <c r="D286" s="88" t="str">
        <f t="shared" si="4"/>
        <v>20.40</v>
      </c>
      <c r="E286" s="119" t="str">
        <f>Translations!B205</f>
        <v>Adipic acid</v>
      </c>
      <c r="F286" s="119" t="str">
        <f>EUconst_Tons</f>
        <v>tonnes</v>
      </c>
      <c r="G286" s="119" t="b">
        <v>1</v>
      </c>
      <c r="H286" s="127">
        <v>2.79</v>
      </c>
      <c r="I286" s="119" t="b">
        <v>0</v>
      </c>
      <c r="J286" s="116">
        <f>""</f>
      </c>
      <c r="K286" s="128">
        <f>""</f>
      </c>
      <c r="L286" s="475">
        <v>0.849</v>
      </c>
      <c r="N286" s="608"/>
      <c r="O286" s="608"/>
    </row>
    <row r="287" spans="1:15" ht="12.75">
      <c r="A287" s="124" t="str">
        <f t="shared" si="1"/>
        <v>Production of ammonia </v>
      </c>
      <c r="B287" s="85">
        <v>22</v>
      </c>
      <c r="C287" s="85">
        <f t="shared" si="3"/>
        <v>41</v>
      </c>
      <c r="D287" s="88" t="str">
        <f t="shared" si="4"/>
        <v>22.41</v>
      </c>
      <c r="E287" s="119" t="str">
        <f>Translations!B206</f>
        <v>Ammonia</v>
      </c>
      <c r="F287" s="119" t="str">
        <f>EUconst_Tons</f>
        <v>tonnes</v>
      </c>
      <c r="G287" s="119" t="b">
        <v>1</v>
      </c>
      <c r="H287" s="129">
        <v>1.619</v>
      </c>
      <c r="I287" s="119" t="b">
        <v>1</v>
      </c>
      <c r="J287" s="116">
        <f>""</f>
      </c>
      <c r="K287" s="128">
        <f>""</f>
      </c>
      <c r="L287" s="475">
        <v>0.888</v>
      </c>
      <c r="N287" s="608"/>
      <c r="O287" s="608"/>
    </row>
    <row r="288" spans="1:15" ht="12.75">
      <c r="A288" s="124" t="str">
        <f t="shared" si="1"/>
        <v>Production of bulk organic chemicals by cracking, reforming, partial or full oxidation or by similar processes, with a production capacity exceeding 100 tonnes per day </v>
      </c>
      <c r="B288" s="85">
        <v>23</v>
      </c>
      <c r="C288" s="85">
        <f t="shared" si="3"/>
        <v>42</v>
      </c>
      <c r="D288" s="88" t="str">
        <f t="shared" si="4"/>
        <v>23.42</v>
      </c>
      <c r="E288" s="119" t="str">
        <f>Translations!B207</f>
        <v>Steam cracking</v>
      </c>
      <c r="F288" s="119" t="str">
        <f>EUconst_Tons</f>
        <v>tonnes</v>
      </c>
      <c r="G288" s="119" t="b">
        <v>1</v>
      </c>
      <c r="H288" s="127">
        <v>0.702</v>
      </c>
      <c r="I288" s="119" t="b">
        <v>1</v>
      </c>
      <c r="J288" s="116" t="str">
        <f>Translations!B102</f>
        <v>Please use steam cracking tool in sheet "SpecialBM" for calculating historical activity levels and preliminary allocation.</v>
      </c>
      <c r="K288" s="128" t="str">
        <f>"#JUMP_H_IV"</f>
        <v>#JUMP_H_IV</v>
      </c>
      <c r="L288" s="475">
        <v>0.872</v>
      </c>
      <c r="N288" s="608"/>
      <c r="O288" s="608"/>
    </row>
    <row r="289" spans="1:15" ht="12.75">
      <c r="A289" s="124" t="str">
        <f t="shared" si="1"/>
        <v>Production of bulk organic chemicals by cracking, reforming, partial or full oxidation or by similar processes, with a production capacity exceeding 100 tonnes per day </v>
      </c>
      <c r="B289" s="85">
        <v>23</v>
      </c>
      <c r="C289" s="85">
        <f t="shared" si="3"/>
        <v>43</v>
      </c>
      <c r="D289" s="88" t="str">
        <f t="shared" si="4"/>
        <v>23.43</v>
      </c>
      <c r="E289" s="119" t="str">
        <f>Translations!B208</f>
        <v>Aromatics</v>
      </c>
      <c r="F289" s="119" t="s">
        <v>1907</v>
      </c>
      <c r="G289" s="119" t="b">
        <v>1</v>
      </c>
      <c r="H289" s="127">
        <v>0.0295</v>
      </c>
      <c r="I289" s="119" t="b">
        <v>1</v>
      </c>
      <c r="J289" s="116" t="str">
        <f>Translations!B103</f>
        <v>Please use CWT tool in sheet "SpecialBM" for calculating historical activity levels.</v>
      </c>
      <c r="K289" s="128" t="str">
        <f>"#JUMP_H_V"</f>
        <v>#JUMP_H_V</v>
      </c>
      <c r="L289" s="475">
        <v>0.902</v>
      </c>
      <c r="N289" s="608"/>
      <c r="O289" s="608"/>
    </row>
    <row r="290" spans="1:15" ht="12.75">
      <c r="A290" s="124" t="str">
        <f t="shared" si="1"/>
        <v>Production of bulk organic chemicals by cracking, reforming, partial or full oxidation or by similar processes, with a production capacity exceeding 100 tonnes per day </v>
      </c>
      <c r="B290" s="85">
        <v>23</v>
      </c>
      <c r="C290" s="85">
        <f t="shared" si="3"/>
        <v>44</v>
      </c>
      <c r="D290" s="88" t="str">
        <f t="shared" si="4"/>
        <v>23.44</v>
      </c>
      <c r="E290" s="119" t="str">
        <f>Translations!B209</f>
        <v>Styrene</v>
      </c>
      <c r="F290" s="119" t="str">
        <f aca="true" t="shared" si="5" ref="F290:F298">EUconst_Tons</f>
        <v>tonnes</v>
      </c>
      <c r="G290" s="119" t="b">
        <v>1</v>
      </c>
      <c r="H290" s="127">
        <v>0.527</v>
      </c>
      <c r="I290" s="119" t="b">
        <v>1</v>
      </c>
      <c r="J290" s="116">
        <f>""</f>
      </c>
      <c r="K290" s="128">
        <f>""</f>
      </c>
      <c r="L290" s="475">
        <v>0.879</v>
      </c>
      <c r="N290" s="608"/>
      <c r="O290" s="608"/>
    </row>
    <row r="291" spans="1:15" ht="12.75">
      <c r="A291" s="124" t="str">
        <f t="shared" si="1"/>
        <v>Production of bulk organic chemicals by cracking, reforming, partial or full oxidation or by similar processes, with a production capacity exceeding 100 tonnes per day </v>
      </c>
      <c r="B291" s="85">
        <v>23</v>
      </c>
      <c r="C291" s="85">
        <f t="shared" si="3"/>
        <v>45</v>
      </c>
      <c r="D291" s="88" t="str">
        <f t="shared" si="4"/>
        <v>23.45</v>
      </c>
      <c r="E291" s="119" t="str">
        <f>Translations!B210</f>
        <v>Phenol/ acetone</v>
      </c>
      <c r="F291" s="119" t="str">
        <f t="shared" si="5"/>
        <v>tonnes</v>
      </c>
      <c r="G291" s="119" t="b">
        <v>1</v>
      </c>
      <c r="H291" s="127">
        <v>0.266</v>
      </c>
      <c r="I291" s="119" t="b">
        <v>0</v>
      </c>
      <c r="J291" s="116">
        <f>""</f>
      </c>
      <c r="K291" s="128">
        <f>""</f>
      </c>
      <c r="L291" s="475">
        <v>0.87</v>
      </c>
      <c r="N291" s="608"/>
      <c r="O291" s="608"/>
    </row>
    <row r="292" spans="1:15" ht="12.75">
      <c r="A292" s="124" t="str">
        <f t="shared" si="1"/>
        <v>Production of bulk organic chemicals by cracking, reforming, partial or full oxidation or by similar processes, with a production capacity exceeding 100 tonnes per day </v>
      </c>
      <c r="B292" s="85">
        <v>23</v>
      </c>
      <c r="C292" s="85">
        <f t="shared" si="3"/>
        <v>46</v>
      </c>
      <c r="D292" s="88" t="str">
        <f t="shared" si="4"/>
        <v>23.46</v>
      </c>
      <c r="E292" s="119" t="str">
        <f>Translations!B211</f>
        <v>Ethylene oxide/ ethylene glycols</v>
      </c>
      <c r="F292" s="119" t="str">
        <f t="shared" si="5"/>
        <v>tonnes</v>
      </c>
      <c r="G292" s="119" t="b">
        <v>1</v>
      </c>
      <c r="H292" s="127">
        <v>0.512</v>
      </c>
      <c r="I292" s="119" t="b">
        <v>1</v>
      </c>
      <c r="J292" s="116" t="str">
        <f>Translations!B104</f>
        <v>Please use ethylene oxide / glycols tool in sheet "SpecialBM" for calculating historical activity levels.</v>
      </c>
      <c r="K292" s="128" t="str">
        <f>"#JUMP_H_VIII"</f>
        <v>#JUMP_H_VIII</v>
      </c>
      <c r="L292" s="475">
        <v>0.84</v>
      </c>
      <c r="N292" s="608"/>
      <c r="O292" s="608"/>
    </row>
    <row r="293" spans="1:15" ht="12.75">
      <c r="A293" s="124" t="str">
        <f t="shared" si="1"/>
        <v>Production of bulk organic chemicals by cracking, reforming, partial or full oxidation or by similar processes, with a production capacity exceeding 100 tonnes per day </v>
      </c>
      <c r="B293" s="85">
        <v>23</v>
      </c>
      <c r="C293" s="85">
        <f t="shared" si="3"/>
        <v>47</v>
      </c>
      <c r="D293" s="88" t="str">
        <f t="shared" si="4"/>
        <v>23.47</v>
      </c>
      <c r="E293" s="119" t="str">
        <f>Translations!B212</f>
        <v>Vinyl chloride monomer</v>
      </c>
      <c r="F293" s="119" t="str">
        <f t="shared" si="5"/>
        <v>tonnes</v>
      </c>
      <c r="G293" s="119" t="b">
        <v>1</v>
      </c>
      <c r="H293" s="127">
        <v>0.204</v>
      </c>
      <c r="I293" s="119" t="b">
        <v>0</v>
      </c>
      <c r="J293" s="116" t="str">
        <f>Translations!B105</f>
        <v>Please use VCM tool in sheet "SpecialBM" for calculating preliminary allocation.</v>
      </c>
      <c r="K293" s="128" t="str">
        <f>"#JUMP_H_IX"</f>
        <v>#JUMP_H_IX</v>
      </c>
      <c r="L293" s="475">
        <v>0.842</v>
      </c>
      <c r="N293" s="608"/>
      <c r="O293" s="608"/>
    </row>
    <row r="294" spans="1:15" ht="12.75">
      <c r="A294" s="124" t="str">
        <f t="shared" si="1"/>
        <v>Production of bulk organic chemicals by cracking, reforming, partial or full oxidation or by similar processes, with a production capacity exceeding 100 tonnes per day </v>
      </c>
      <c r="B294" s="85">
        <v>23</v>
      </c>
      <c r="C294" s="85">
        <f t="shared" si="3"/>
        <v>48</v>
      </c>
      <c r="D294" s="88" t="str">
        <f t="shared" si="4"/>
        <v>23.48</v>
      </c>
      <c r="E294" s="119" t="str">
        <f>Translations!B213</f>
        <v>S-PVC</v>
      </c>
      <c r="F294" s="119" t="str">
        <f t="shared" si="5"/>
        <v>tonnes</v>
      </c>
      <c r="G294" s="119" t="b">
        <v>1</v>
      </c>
      <c r="H294" s="127">
        <v>0.085</v>
      </c>
      <c r="I294" s="119" t="b">
        <v>0</v>
      </c>
      <c r="J294" s="116">
        <f>""</f>
      </c>
      <c r="K294" s="128">
        <f>""</f>
      </c>
      <c r="L294" s="475">
        <v>0.873</v>
      </c>
      <c r="N294" s="608"/>
      <c r="O294" s="608"/>
    </row>
    <row r="295" spans="1:15" ht="12.75">
      <c r="A295" s="124" t="str">
        <f t="shared" si="1"/>
        <v>Production of bulk organic chemicals by cracking, reforming, partial or full oxidation or by similar processes, with a production capacity exceeding 100 tonnes per day </v>
      </c>
      <c r="B295" s="85">
        <v>23</v>
      </c>
      <c r="C295" s="85">
        <f t="shared" si="3"/>
        <v>49</v>
      </c>
      <c r="D295" s="88" t="str">
        <f t="shared" si="4"/>
        <v>23.49</v>
      </c>
      <c r="E295" s="119" t="str">
        <f>Translations!B214</f>
        <v>E-PVC</v>
      </c>
      <c r="F295" s="119" t="str">
        <f t="shared" si="5"/>
        <v>tonnes</v>
      </c>
      <c r="G295" s="119" t="b">
        <v>1</v>
      </c>
      <c r="H295" s="127">
        <v>0.238</v>
      </c>
      <c r="I295" s="119" t="b">
        <v>0</v>
      </c>
      <c r="J295" s="116">
        <f>""</f>
      </c>
      <c r="K295" s="128">
        <f>""</f>
      </c>
      <c r="L295" s="475">
        <v>0.834</v>
      </c>
      <c r="N295" s="608"/>
      <c r="O295" s="608"/>
    </row>
    <row r="296" spans="1:15" ht="12.75">
      <c r="A296" s="124" t="str">
        <f t="shared" si="1"/>
        <v>Production of hydrogen (H2) and synthesis gas by reforming or partial oxidation with a production capacity exceeding 25 tonnes per day </v>
      </c>
      <c r="B296" s="85">
        <v>24</v>
      </c>
      <c r="C296" s="85">
        <f t="shared" si="3"/>
        <v>50</v>
      </c>
      <c r="D296" s="88" t="str">
        <f t="shared" si="4"/>
        <v>24.50</v>
      </c>
      <c r="E296" s="119" t="str">
        <f>Translations!B215</f>
        <v>Hydrogen</v>
      </c>
      <c r="F296" s="119" t="str">
        <f t="shared" si="5"/>
        <v>tonnes</v>
      </c>
      <c r="G296" s="119" t="b">
        <v>1</v>
      </c>
      <c r="H296" s="127">
        <v>8.85</v>
      </c>
      <c r="I296" s="119" t="b">
        <v>1</v>
      </c>
      <c r="J296" s="116" t="str">
        <f>Translations!B106</f>
        <v>Please use hydrogen tool in sheet "SpecialBM" for calculating historical activity levels.</v>
      </c>
      <c r="K296" s="128" t="str">
        <f>"#JUMP_H_VI"</f>
        <v>#JUMP_H_VI</v>
      </c>
      <c r="L296" s="475">
        <v>0.902</v>
      </c>
      <c r="N296" s="608"/>
      <c r="O296" s="608"/>
    </row>
    <row r="297" spans="1:15" ht="12.75">
      <c r="A297" s="124" t="str">
        <f t="shared" si="1"/>
        <v>Production of hydrogen (H2) and synthesis gas by reforming or partial oxidation with a production capacity exceeding 25 tonnes per day </v>
      </c>
      <c r="B297" s="85">
        <v>24</v>
      </c>
      <c r="C297" s="85">
        <f t="shared" si="3"/>
        <v>51</v>
      </c>
      <c r="D297" s="88" t="str">
        <f t="shared" si="4"/>
        <v>24.51</v>
      </c>
      <c r="E297" s="119" t="str">
        <f>Translations!B216</f>
        <v>Synthesis gas</v>
      </c>
      <c r="F297" s="119" t="str">
        <f t="shared" si="5"/>
        <v>tonnes</v>
      </c>
      <c r="G297" s="119" t="b">
        <v>1</v>
      </c>
      <c r="H297" s="127">
        <v>0.242</v>
      </c>
      <c r="I297" s="119" t="b">
        <v>1</v>
      </c>
      <c r="J297" s="116" t="str">
        <f>Translations!B107</f>
        <v>Please use syngas tool in sheet "SpecialBM" for calculating historical activity levels.</v>
      </c>
      <c r="K297" s="128" t="str">
        <f>"#JUMP_H_VII"</f>
        <v>#JUMP_H_VII</v>
      </c>
      <c r="L297" s="475">
        <v>0.902</v>
      </c>
      <c r="N297" s="608"/>
      <c r="O297" s="608"/>
    </row>
    <row r="298" spans="1:15" ht="12.75">
      <c r="A298" s="124" t="str">
        <f t="shared" si="1"/>
        <v>Production of soda ash (Na2CO3) and sodium bicarbonate (NaHCO3) </v>
      </c>
      <c r="B298" s="85">
        <v>25</v>
      </c>
      <c r="C298" s="85">
        <f t="shared" si="3"/>
        <v>52</v>
      </c>
      <c r="D298" s="88" t="str">
        <f t="shared" si="4"/>
        <v>25.52</v>
      </c>
      <c r="E298" s="119" t="str">
        <f>Translations!B217</f>
        <v>Soda ash</v>
      </c>
      <c r="F298" s="119" t="str">
        <f t="shared" si="5"/>
        <v>tonnes</v>
      </c>
      <c r="G298" s="119" t="b">
        <v>1</v>
      </c>
      <c r="H298" s="127">
        <v>0.843</v>
      </c>
      <c r="I298" s="119" t="b">
        <v>0</v>
      </c>
      <c r="J298" s="116">
        <f>""</f>
      </c>
      <c r="K298" s="128">
        <f>""</f>
      </c>
      <c r="L298" s="475">
        <v>0.926</v>
      </c>
      <c r="N298" s="608"/>
      <c r="O298" s="608"/>
    </row>
    <row r="299" spans="1:12" ht="12.75">
      <c r="A299" s="131" t="str">
        <f>Translations!$B$1607</f>
        <v>end</v>
      </c>
      <c r="B299" s="132" t="str">
        <f>Translations!$B$1607</f>
        <v>end</v>
      </c>
      <c r="C299" s="132" t="str">
        <f>Translations!$B$1607</f>
        <v>end</v>
      </c>
      <c r="D299" s="132" t="str">
        <f>Translations!$B$1607</f>
        <v>end</v>
      </c>
      <c r="E299" s="132" t="str">
        <f>Translations!$B$1607</f>
        <v>end</v>
      </c>
      <c r="F299" s="132" t="str">
        <f>Translations!$B$1607</f>
        <v>end</v>
      </c>
      <c r="G299" s="132" t="str">
        <f>Translations!$B$1607</f>
        <v>end</v>
      </c>
      <c r="H299" s="132" t="s">
        <v>164</v>
      </c>
      <c r="I299" s="132" t="s">
        <v>164</v>
      </c>
      <c r="J299" s="132" t="s">
        <v>164</v>
      </c>
      <c r="K299" s="132" t="s">
        <v>164</v>
      </c>
      <c r="L299" s="132" t="s">
        <v>164</v>
      </c>
    </row>
    <row r="300" s="121" customFormat="1" ht="12.75">
      <c r="A300" s="121" t="s">
        <v>1801</v>
      </c>
    </row>
    <row r="301" spans="1:11" ht="12.75">
      <c r="A301" s="119"/>
      <c r="B301" s="119"/>
      <c r="C301" s="119" t="s">
        <v>1899</v>
      </c>
      <c r="D301" s="119" t="s">
        <v>1900</v>
      </c>
      <c r="E301" s="119" t="s">
        <v>1802</v>
      </c>
      <c r="F301" s="119" t="s">
        <v>415</v>
      </c>
      <c r="G301" s="119" t="s">
        <v>1902</v>
      </c>
      <c r="H301" s="119" t="s">
        <v>1903</v>
      </c>
      <c r="I301" s="119" t="s">
        <v>27</v>
      </c>
      <c r="J301" s="119"/>
      <c r="K301" s="133"/>
    </row>
    <row r="302" spans="2:12" s="134" customFormat="1" ht="12.75">
      <c r="B302" s="134">
        <v>90</v>
      </c>
      <c r="C302" s="135">
        <v>91</v>
      </c>
      <c r="D302" s="136" t="str">
        <f aca="true" t="shared" si="6" ref="D302:D307">CONCATENATE(TEXT(B302,"00"),".",TEXT(C302,"00"))</f>
        <v>90.91</v>
      </c>
      <c r="E302" s="37" t="str">
        <f>Translations!B218</f>
        <v>Heat benchmark sub-installation, CL</v>
      </c>
      <c r="F302" s="4" t="str">
        <f>EUconst_TJ</f>
        <v>TJ</v>
      </c>
      <c r="G302" s="36" t="b">
        <v>1</v>
      </c>
      <c r="H302" s="135">
        <v>62.3</v>
      </c>
      <c r="I302" s="135" t="s">
        <v>28</v>
      </c>
      <c r="L302" s="477">
        <v>1</v>
      </c>
    </row>
    <row r="303" spans="2:12" s="134" customFormat="1" ht="12.75">
      <c r="B303" s="134">
        <v>90</v>
      </c>
      <c r="C303" s="135">
        <v>92</v>
      </c>
      <c r="D303" s="136" t="str">
        <f t="shared" si="6"/>
        <v>90.92</v>
      </c>
      <c r="E303" s="37" t="str">
        <f>Translations!B219</f>
        <v>Heat benchmark sub-installation, non-CL</v>
      </c>
      <c r="F303" s="4" t="str">
        <f>EUconst_TJ</f>
        <v>TJ</v>
      </c>
      <c r="G303" s="36" t="b">
        <v>0</v>
      </c>
      <c r="H303" s="135">
        <v>62.3</v>
      </c>
      <c r="I303" s="135" t="s">
        <v>28</v>
      </c>
      <c r="L303" s="477">
        <v>1</v>
      </c>
    </row>
    <row r="304" spans="2:12" s="134" customFormat="1" ht="12.75">
      <c r="B304" s="134">
        <v>90</v>
      </c>
      <c r="C304" s="135">
        <v>93</v>
      </c>
      <c r="D304" s="136" t="str">
        <f t="shared" si="6"/>
        <v>90.93</v>
      </c>
      <c r="E304" s="37" t="str">
        <f>Translations!B220</f>
        <v>Fuel benchmark sub-installation, CL</v>
      </c>
      <c r="F304" s="4" t="str">
        <f>EUconst_TJ</f>
        <v>TJ</v>
      </c>
      <c r="G304" s="36" t="b">
        <v>1</v>
      </c>
      <c r="H304" s="135">
        <v>56.1</v>
      </c>
      <c r="I304" s="135" t="s">
        <v>29</v>
      </c>
      <c r="L304" s="477">
        <v>1</v>
      </c>
    </row>
    <row r="305" spans="2:12" s="134" customFormat="1" ht="12.75">
      <c r="B305" s="134">
        <v>90</v>
      </c>
      <c r="C305" s="135">
        <v>94</v>
      </c>
      <c r="D305" s="136" t="str">
        <f t="shared" si="6"/>
        <v>90.94</v>
      </c>
      <c r="E305" s="37" t="str">
        <f>Translations!B221</f>
        <v>Fuel benchmark sub-installation, non-CL</v>
      </c>
      <c r="F305" s="4" t="str">
        <f>EUconst_TJ</f>
        <v>TJ</v>
      </c>
      <c r="G305" s="36" t="b">
        <v>0</v>
      </c>
      <c r="H305" s="135">
        <v>56.1</v>
      </c>
      <c r="I305" s="135" t="s">
        <v>29</v>
      </c>
      <c r="L305" s="477">
        <v>1</v>
      </c>
    </row>
    <row r="306" spans="2:12" s="134" customFormat="1" ht="12.75">
      <c r="B306" s="134">
        <v>90</v>
      </c>
      <c r="C306" s="135">
        <v>95</v>
      </c>
      <c r="D306" s="136" t="str">
        <f t="shared" si="6"/>
        <v>90.95</v>
      </c>
      <c r="E306" s="37" t="str">
        <f>Translations!B222</f>
        <v>Process emissions sub-installation, CL</v>
      </c>
      <c r="F306" s="4" t="str">
        <f>EUconst_tCO2e</f>
        <v>t CO2e</v>
      </c>
      <c r="G306" s="36" t="b">
        <v>1</v>
      </c>
      <c r="H306" s="135">
        <v>0.97</v>
      </c>
      <c r="I306" s="135" t="s">
        <v>30</v>
      </c>
      <c r="L306" s="477">
        <v>1</v>
      </c>
    </row>
    <row r="307" spans="2:12" s="134" customFormat="1" ht="12.75">
      <c r="B307" s="134">
        <v>90</v>
      </c>
      <c r="C307" s="135">
        <v>96</v>
      </c>
      <c r="D307" s="136" t="str">
        <f t="shared" si="6"/>
        <v>90.96</v>
      </c>
      <c r="E307" s="37" t="str">
        <f>Translations!B223</f>
        <v>Process emissions sub-installation, non-CL</v>
      </c>
      <c r="F307" s="4" t="str">
        <f>EUconst_tCO2e</f>
        <v>t CO2e</v>
      </c>
      <c r="G307" s="36" t="b">
        <v>0</v>
      </c>
      <c r="H307" s="135">
        <v>0.97</v>
      </c>
      <c r="I307" s="135" t="s">
        <v>30</v>
      </c>
      <c r="L307" s="477">
        <v>1</v>
      </c>
    </row>
    <row r="308" s="121" customFormat="1" ht="12.75">
      <c r="A308" s="121" t="s">
        <v>19</v>
      </c>
    </row>
    <row r="309" spans="1:11" ht="12.75">
      <c r="A309" s="119"/>
      <c r="B309" s="119"/>
      <c r="C309" s="119"/>
      <c r="D309" s="119"/>
      <c r="E309" s="382" t="s">
        <v>21</v>
      </c>
      <c r="F309" s="382" t="s">
        <v>20</v>
      </c>
      <c r="G309" s="382" t="s">
        <v>52</v>
      </c>
      <c r="H309" s="119"/>
      <c r="I309" s="119"/>
      <c r="J309" s="119"/>
      <c r="K309" s="133"/>
    </row>
    <row r="310" spans="3:9" s="134" customFormat="1" ht="12.75">
      <c r="C310" s="135"/>
      <c r="D310" s="136"/>
      <c r="E310" s="416">
        <v>0</v>
      </c>
      <c r="F310" s="416">
        <v>1</v>
      </c>
      <c r="G310" s="381" t="s">
        <v>53</v>
      </c>
      <c r="H310" s="135"/>
      <c r="I310" s="135"/>
    </row>
    <row r="311" spans="3:9" s="134" customFormat="1" ht="12.75">
      <c r="C311" s="135"/>
      <c r="D311" s="136"/>
      <c r="E311" s="416">
        <v>0.5</v>
      </c>
      <c r="F311" s="416">
        <v>0.5</v>
      </c>
      <c r="G311" s="381" t="s">
        <v>54</v>
      </c>
      <c r="H311" s="135"/>
      <c r="I311" s="135"/>
    </row>
    <row r="312" spans="3:9" s="134" customFormat="1" ht="12.75">
      <c r="C312" s="135"/>
      <c r="D312" s="136"/>
      <c r="E312" s="416">
        <v>0.75</v>
      </c>
      <c r="F312" s="416">
        <v>0.25</v>
      </c>
      <c r="G312" s="381" t="s">
        <v>55</v>
      </c>
      <c r="H312" s="135"/>
      <c r="I312" s="135"/>
    </row>
    <row r="313" spans="3:9" s="134" customFormat="1" ht="12.75">
      <c r="C313" s="135"/>
      <c r="D313" s="136"/>
      <c r="E313" s="416">
        <v>0.9</v>
      </c>
      <c r="F313" s="416">
        <v>0</v>
      </c>
      <c r="G313" s="381" t="s">
        <v>56</v>
      </c>
      <c r="H313" s="135"/>
      <c r="I313" s="135"/>
    </row>
    <row r="314" s="121" customFormat="1" ht="12.75">
      <c r="A314" s="121" t="s">
        <v>47</v>
      </c>
    </row>
    <row r="315" spans="3:15" s="134" customFormat="1" ht="12.75">
      <c r="C315" s="93"/>
      <c r="D315" s="136"/>
      <c r="E315" s="4" t="str">
        <f>Translations!$B$166</f>
        <v>Refinery products</v>
      </c>
      <c r="F315" s="4"/>
      <c r="G315" s="36"/>
      <c r="H315" s="135"/>
      <c r="I315" s="135"/>
      <c r="J315" s="417"/>
      <c r="M315" s="423"/>
      <c r="N315" s="423"/>
      <c r="O315" s="423"/>
    </row>
    <row r="316" spans="3:15" s="134" customFormat="1" ht="12.75">
      <c r="C316" s="93"/>
      <c r="D316" s="136"/>
      <c r="E316" s="4" t="str">
        <f>Translations!$B$167</f>
        <v>Coke</v>
      </c>
      <c r="F316" s="4"/>
      <c r="G316" s="36"/>
      <c r="H316" s="135"/>
      <c r="I316" s="135"/>
      <c r="M316" s="424"/>
      <c r="N316" s="424"/>
      <c r="O316" s="424"/>
    </row>
    <row r="317" spans="3:15" s="134" customFormat="1" ht="12.75">
      <c r="C317" s="93"/>
      <c r="D317" s="136"/>
      <c r="E317" s="4" t="str">
        <f>Translations!$B$168</f>
        <v>Sintered ore</v>
      </c>
      <c r="F317" s="4"/>
      <c r="G317" s="36"/>
      <c r="H317" s="135"/>
      <c r="I317" s="135"/>
      <c r="M317" s="424"/>
      <c r="N317" s="424"/>
      <c r="O317" s="424"/>
    </row>
    <row r="318" spans="3:15" s="134" customFormat="1" ht="12.75">
      <c r="C318" s="93"/>
      <c r="D318" s="136"/>
      <c r="E318" s="4" t="str">
        <f>Translations!$B$169</f>
        <v>Hot metal</v>
      </c>
      <c r="F318" s="4"/>
      <c r="G318" s="36"/>
      <c r="H318" s="135"/>
      <c r="I318" s="135"/>
      <c r="M318" s="424"/>
      <c r="N318" s="424"/>
      <c r="O318" s="424"/>
    </row>
    <row r="319" spans="3:15" s="134" customFormat="1" ht="12.75">
      <c r="C319" s="93"/>
      <c r="D319" s="136"/>
      <c r="E319" s="4" t="str">
        <f>Translations!$B$170</f>
        <v>EAF carbon steel</v>
      </c>
      <c r="F319" s="4"/>
      <c r="G319" s="36"/>
      <c r="H319" s="135"/>
      <c r="I319" s="135"/>
      <c r="M319" s="424"/>
      <c r="N319" s="424"/>
      <c r="O319" s="424"/>
    </row>
    <row r="320" spans="3:15" s="134" customFormat="1" ht="12.75">
      <c r="C320" s="93"/>
      <c r="D320" s="136"/>
      <c r="E320" s="4" t="str">
        <f>Translations!$B$171</f>
        <v>EAF high alloy steel</v>
      </c>
      <c r="F320" s="4"/>
      <c r="G320" s="36"/>
      <c r="H320" s="135"/>
      <c r="I320" s="135"/>
      <c r="M320" s="424"/>
      <c r="N320" s="424"/>
      <c r="O320" s="424"/>
    </row>
    <row r="321" spans="3:15" s="134" customFormat="1" ht="12.75">
      <c r="C321" s="93"/>
      <c r="D321" s="136"/>
      <c r="E321" s="4" t="str">
        <f>Translations!$B$172</f>
        <v>Iron casting</v>
      </c>
      <c r="F321" s="4"/>
      <c r="G321" s="36"/>
      <c r="H321" s="135"/>
      <c r="I321" s="135"/>
      <c r="M321" s="3"/>
      <c r="N321" s="3"/>
      <c r="O321" s="3"/>
    </row>
    <row r="322" spans="3:15" s="134" customFormat="1" ht="12.75">
      <c r="C322" s="93"/>
      <c r="D322" s="136"/>
      <c r="E322" s="4" t="str">
        <f>Translations!$B$173</f>
        <v>Pre-bake anode</v>
      </c>
      <c r="F322" s="4"/>
      <c r="G322" s="36"/>
      <c r="H322" s="135"/>
      <c r="I322" s="135"/>
      <c r="M322" s="3"/>
      <c r="N322" s="3"/>
      <c r="O322" s="3"/>
    </row>
    <row r="323" spans="3:15" s="134" customFormat="1" ht="12.75">
      <c r="C323" s="93"/>
      <c r="D323" s="136"/>
      <c r="E323" s="4" t="str">
        <f>Translations!$B$174</f>
        <v>[Primary] Aluminium</v>
      </c>
      <c r="F323" s="4"/>
      <c r="G323" s="36"/>
      <c r="H323" s="135"/>
      <c r="I323" s="135"/>
      <c r="M323" s="3"/>
      <c r="N323" s="3"/>
      <c r="O323" s="3"/>
    </row>
    <row r="324" spans="3:15" s="134" customFormat="1" ht="12.75">
      <c r="C324" s="93"/>
      <c r="D324" s="136"/>
      <c r="E324" s="4" t="str">
        <f>Translations!$B$175</f>
        <v>Grey cement clinker</v>
      </c>
      <c r="F324" s="4"/>
      <c r="G324" s="36"/>
      <c r="H324" s="135"/>
      <c r="I324" s="135"/>
      <c r="M324" s="3"/>
      <c r="N324" s="3"/>
      <c r="O324" s="3"/>
    </row>
    <row r="325" spans="3:15" s="134" customFormat="1" ht="12.75">
      <c r="C325" s="93"/>
      <c r="D325" s="136"/>
      <c r="E325" s="4" t="str">
        <f>Translations!$B$176</f>
        <v>White cement clinker</v>
      </c>
      <c r="F325" s="4"/>
      <c r="G325" s="36"/>
      <c r="H325" s="135"/>
      <c r="I325" s="135"/>
      <c r="M325" s="3"/>
      <c r="N325" s="3"/>
      <c r="O325" s="3"/>
    </row>
    <row r="326" spans="3:15" s="134" customFormat="1" ht="12.75">
      <c r="C326" s="93"/>
      <c r="D326" s="136"/>
      <c r="E326" s="4" t="str">
        <f>Translations!$B$177</f>
        <v>Lime</v>
      </c>
      <c r="F326" s="4"/>
      <c r="G326" s="36"/>
      <c r="H326" s="135"/>
      <c r="I326" s="135"/>
      <c r="M326" s="3"/>
      <c r="N326" s="3"/>
      <c r="O326" s="3"/>
    </row>
    <row r="327" spans="3:15" s="134" customFormat="1" ht="12.75">
      <c r="C327" s="93"/>
      <c r="D327" s="136"/>
      <c r="E327" s="4" t="str">
        <f>Translations!$B$178</f>
        <v>Dolime</v>
      </c>
      <c r="F327" s="4"/>
      <c r="G327" s="36"/>
      <c r="H327" s="135"/>
      <c r="I327" s="135"/>
      <c r="M327" s="3"/>
      <c r="N327" s="3"/>
      <c r="O327" s="3"/>
    </row>
    <row r="328" spans="3:15" s="134" customFormat="1" ht="12.75">
      <c r="C328" s="93"/>
      <c r="D328" s="136"/>
      <c r="E328" s="4" t="str">
        <f>Translations!$B$179</f>
        <v>Sintered dolime</v>
      </c>
      <c r="F328" s="4"/>
      <c r="G328" s="36"/>
      <c r="H328" s="135"/>
      <c r="I328" s="135"/>
      <c r="M328" s="3"/>
      <c r="N328" s="3"/>
      <c r="O328" s="3"/>
    </row>
    <row r="329" spans="3:15" s="134" customFormat="1" ht="12.75">
      <c r="C329" s="93"/>
      <c r="D329" s="136"/>
      <c r="E329" s="4" t="str">
        <f>Translations!$B$180</f>
        <v>Float glass</v>
      </c>
      <c r="F329" s="4"/>
      <c r="G329" s="36"/>
      <c r="H329" s="135"/>
      <c r="I329" s="135"/>
      <c r="M329" s="3"/>
      <c r="N329" s="3"/>
      <c r="O329" s="3"/>
    </row>
    <row r="330" spans="3:15" s="134" customFormat="1" ht="12.75">
      <c r="C330" s="93"/>
      <c r="D330" s="136"/>
      <c r="E330" s="4" t="str">
        <f>Translations!$B$181</f>
        <v>Bottles and jars of colourless glass</v>
      </c>
      <c r="F330" s="4"/>
      <c r="G330" s="36"/>
      <c r="H330" s="135"/>
      <c r="I330" s="135"/>
      <c r="M330" s="3"/>
      <c r="N330" s="3"/>
      <c r="O330" s="3"/>
    </row>
    <row r="331" spans="3:15" s="134" customFormat="1" ht="12.75">
      <c r="C331" s="93"/>
      <c r="D331" s="136"/>
      <c r="E331" s="4" t="str">
        <f>Translations!$B$182</f>
        <v>Bottles and jars of coloured glass</v>
      </c>
      <c r="F331" s="4"/>
      <c r="G331" s="36"/>
      <c r="H331" s="135"/>
      <c r="I331" s="135"/>
      <c r="M331" s="3"/>
      <c r="N331" s="3"/>
      <c r="O331" s="3"/>
    </row>
    <row r="332" spans="3:15" s="134" customFormat="1" ht="12.75">
      <c r="C332" s="93"/>
      <c r="D332" s="136"/>
      <c r="E332" s="4" t="str">
        <f>Translations!$B$183</f>
        <v>Continuous filament glass fibre products</v>
      </c>
      <c r="F332" s="4"/>
      <c r="G332" s="36"/>
      <c r="H332" s="135"/>
      <c r="I332" s="135"/>
      <c r="M332" s="3"/>
      <c r="N332" s="3"/>
      <c r="O332" s="3"/>
    </row>
    <row r="333" spans="3:15" s="134" customFormat="1" ht="12.75">
      <c r="C333" s="93"/>
      <c r="D333" s="136"/>
      <c r="E333" s="4" t="str">
        <f>Translations!$B$184</f>
        <v>Facing bricks</v>
      </c>
      <c r="F333" s="4"/>
      <c r="G333" s="36"/>
      <c r="H333" s="135"/>
      <c r="I333" s="135"/>
      <c r="M333" s="3"/>
      <c r="N333" s="3"/>
      <c r="O333" s="3"/>
    </row>
    <row r="334" spans="3:15" s="134" customFormat="1" ht="12.75">
      <c r="C334" s="93"/>
      <c r="D334" s="136"/>
      <c r="E334" s="4" t="str">
        <f>Translations!$B$185</f>
        <v>Pavers</v>
      </c>
      <c r="F334" s="4"/>
      <c r="G334" s="36"/>
      <c r="H334" s="135"/>
      <c r="I334" s="135"/>
      <c r="M334" s="3"/>
      <c r="N334" s="3"/>
      <c r="O334" s="3"/>
    </row>
    <row r="335" spans="3:15" s="134" customFormat="1" ht="12.75">
      <c r="C335" s="93"/>
      <c r="D335" s="136"/>
      <c r="E335" s="4" t="str">
        <f>Translations!$B$186</f>
        <v>Roof tiles</v>
      </c>
      <c r="F335" s="4"/>
      <c r="G335" s="36"/>
      <c r="H335" s="135"/>
      <c r="I335" s="135"/>
      <c r="M335" s="3"/>
      <c r="N335" s="3"/>
      <c r="O335" s="3"/>
    </row>
    <row r="336" spans="3:15" s="134" customFormat="1" ht="12.75">
      <c r="C336" s="93"/>
      <c r="D336" s="136"/>
      <c r="E336" s="4" t="str">
        <f>Translations!$B$187</f>
        <v>Spray dried powder</v>
      </c>
      <c r="F336" s="4"/>
      <c r="G336" s="36"/>
      <c r="H336" s="135"/>
      <c r="I336" s="135"/>
      <c r="M336" s="3"/>
      <c r="N336" s="3"/>
      <c r="O336" s="3"/>
    </row>
    <row r="337" spans="3:15" s="134" customFormat="1" ht="12.75">
      <c r="C337" s="93"/>
      <c r="D337" s="136"/>
      <c r="E337" s="4" t="str">
        <f>Translations!$B$188</f>
        <v>Mineral wool</v>
      </c>
      <c r="F337" s="4"/>
      <c r="G337" s="36"/>
      <c r="H337" s="135"/>
      <c r="I337" s="135"/>
      <c r="M337" s="3"/>
      <c r="N337" s="3"/>
      <c r="O337" s="3"/>
    </row>
    <row r="338" spans="3:15" s="134" customFormat="1" ht="12.75">
      <c r="C338" s="93"/>
      <c r="D338" s="136"/>
      <c r="E338" s="4" t="str">
        <f>Translations!$B$189</f>
        <v>Plaster</v>
      </c>
      <c r="F338" s="4"/>
      <c r="G338" s="36"/>
      <c r="H338" s="135"/>
      <c r="I338" s="135"/>
      <c r="M338" s="3"/>
      <c r="N338" s="3"/>
      <c r="O338" s="3"/>
    </row>
    <row r="339" spans="3:15" s="134" customFormat="1" ht="12.75">
      <c r="C339" s="93"/>
      <c r="D339" s="136"/>
      <c r="E339" s="4" t="str">
        <f>Translations!$B$190</f>
        <v>Dried secondary gypsum</v>
      </c>
      <c r="F339" s="4"/>
      <c r="G339" s="36"/>
      <c r="H339" s="135"/>
      <c r="I339" s="135"/>
      <c r="M339" s="3"/>
      <c r="N339" s="3"/>
      <c r="O339" s="3"/>
    </row>
    <row r="340" spans="3:15" s="134" customFormat="1" ht="12.75">
      <c r="C340" s="93"/>
      <c r="D340" s="136"/>
      <c r="E340" s="4" t="str">
        <f>Translations!$B$191</f>
        <v>Plasterboard</v>
      </c>
      <c r="F340" s="4"/>
      <c r="G340" s="36"/>
      <c r="H340" s="135"/>
      <c r="I340" s="135"/>
      <c r="M340" s="3"/>
      <c r="N340" s="3"/>
      <c r="O340" s="3"/>
    </row>
    <row r="341" spans="3:15" s="134" customFormat="1" ht="12.75">
      <c r="C341" s="93"/>
      <c r="D341" s="136"/>
      <c r="E341" s="4" t="str">
        <f>Translations!$B$192</f>
        <v>Short fibre kraft pulp</v>
      </c>
      <c r="F341" s="4"/>
      <c r="G341" s="36"/>
      <c r="H341" s="135"/>
      <c r="I341" s="135"/>
      <c r="M341" s="3"/>
      <c r="N341" s="3"/>
      <c r="O341" s="3"/>
    </row>
    <row r="342" spans="3:15" s="134" customFormat="1" ht="12.75">
      <c r="C342" s="93"/>
      <c r="D342" s="136"/>
      <c r="E342" s="4" t="str">
        <f>Translations!$B$193</f>
        <v>Long fibre kraft pulp</v>
      </c>
      <c r="F342" s="4"/>
      <c r="G342" s="36"/>
      <c r="H342" s="135"/>
      <c r="I342" s="135"/>
      <c r="M342" s="3"/>
      <c r="N342" s="3"/>
      <c r="O342" s="3"/>
    </row>
    <row r="343" spans="3:15" s="134" customFormat="1" ht="12.75">
      <c r="C343" s="93"/>
      <c r="D343" s="136"/>
      <c r="E343" s="4" t="str">
        <f>Translations!$B$194</f>
        <v>Sulphite pulp, thermo-mechanical and mechanical pulp</v>
      </c>
      <c r="F343" s="4"/>
      <c r="G343" s="36"/>
      <c r="H343" s="135"/>
      <c r="I343" s="135"/>
      <c r="M343" s="3"/>
      <c r="N343" s="3"/>
      <c r="O343" s="3"/>
    </row>
    <row r="344" spans="3:15" s="134" customFormat="1" ht="12.75">
      <c r="C344" s="93"/>
      <c r="D344" s="136"/>
      <c r="E344" s="4" t="str">
        <f>Translations!$B$195</f>
        <v>Recovered paper pulp</v>
      </c>
      <c r="F344" s="4"/>
      <c r="G344" s="36"/>
      <c r="H344" s="135"/>
      <c r="I344" s="135"/>
      <c r="M344" s="3"/>
      <c r="N344" s="3"/>
      <c r="O344" s="3"/>
    </row>
    <row r="345" spans="3:15" s="134" customFormat="1" ht="12.75">
      <c r="C345" s="93"/>
      <c r="D345" s="136"/>
      <c r="E345" s="4" t="str">
        <f>Translations!$B$196</f>
        <v>Newsprint</v>
      </c>
      <c r="F345" s="4"/>
      <c r="G345" s="36"/>
      <c r="H345" s="135"/>
      <c r="I345" s="135"/>
      <c r="M345" s="3"/>
      <c r="N345" s="3"/>
      <c r="O345" s="3"/>
    </row>
    <row r="346" spans="3:15" s="134" customFormat="1" ht="12.75">
      <c r="C346" s="93"/>
      <c r="D346" s="136"/>
      <c r="E346" s="4" t="str">
        <f>Translations!$B$197</f>
        <v>Uncoated fine paper</v>
      </c>
      <c r="F346" s="4"/>
      <c r="G346" s="36"/>
      <c r="H346" s="135"/>
      <c r="I346" s="135"/>
      <c r="M346" s="3"/>
      <c r="N346" s="3"/>
      <c r="O346" s="3"/>
    </row>
    <row r="347" spans="3:15" s="134" customFormat="1" ht="12.75">
      <c r="C347" s="93"/>
      <c r="D347" s="136"/>
      <c r="E347" s="4" t="str">
        <f>Translations!$B$198</f>
        <v>Coated fine paper</v>
      </c>
      <c r="F347" s="4"/>
      <c r="G347" s="36"/>
      <c r="H347" s="135"/>
      <c r="I347" s="135"/>
      <c r="M347" s="3"/>
      <c r="N347" s="3"/>
      <c r="O347" s="3"/>
    </row>
    <row r="348" spans="3:15" s="134" customFormat="1" ht="12.75">
      <c r="C348" s="93"/>
      <c r="D348" s="136"/>
      <c r="E348" s="4" t="str">
        <f>Translations!$B$199</f>
        <v>Tissue</v>
      </c>
      <c r="F348" s="4"/>
      <c r="G348" s="36"/>
      <c r="H348" s="135"/>
      <c r="I348" s="135"/>
      <c r="M348" s="3"/>
      <c r="N348" s="3"/>
      <c r="O348" s="3"/>
    </row>
    <row r="349" spans="3:15" s="134" customFormat="1" ht="12.75">
      <c r="C349" s="93"/>
      <c r="D349" s="136"/>
      <c r="E349" s="4" t="str">
        <f>Translations!$B$200</f>
        <v>Testliner and fluting</v>
      </c>
      <c r="F349" s="4"/>
      <c r="G349" s="36"/>
      <c r="H349" s="135"/>
      <c r="I349" s="135"/>
      <c r="M349" s="3"/>
      <c r="N349" s="3"/>
      <c r="O349" s="3"/>
    </row>
    <row r="350" spans="3:15" s="134" customFormat="1" ht="12.75">
      <c r="C350" s="93"/>
      <c r="D350" s="136"/>
      <c r="E350" s="4" t="str">
        <f>Translations!$B$201</f>
        <v>Uncoated carton board</v>
      </c>
      <c r="F350" s="4"/>
      <c r="G350" s="36"/>
      <c r="H350" s="135"/>
      <c r="I350" s="135"/>
      <c r="M350" s="3"/>
      <c r="N350" s="3"/>
      <c r="O350" s="3"/>
    </row>
    <row r="351" spans="3:15" s="134" customFormat="1" ht="12.75">
      <c r="C351" s="93"/>
      <c r="D351" s="136"/>
      <c r="E351" s="4" t="str">
        <f>Translations!$B$202</f>
        <v>Coated carton board</v>
      </c>
      <c r="F351" s="4"/>
      <c r="G351" s="36"/>
      <c r="H351" s="135"/>
      <c r="I351" s="135"/>
      <c r="M351" s="3"/>
      <c r="N351" s="3"/>
      <c r="O351" s="3"/>
    </row>
    <row r="352" spans="3:15" s="134" customFormat="1" ht="12.75">
      <c r="C352" s="93"/>
      <c r="D352" s="136"/>
      <c r="E352" s="4" t="str">
        <f>Translations!$B$203</f>
        <v>Carbon black</v>
      </c>
      <c r="F352" s="4"/>
      <c r="G352" s="36"/>
      <c r="H352" s="135"/>
      <c r="I352" s="135"/>
      <c r="M352" s="3"/>
      <c r="N352" s="3"/>
      <c r="O352" s="3"/>
    </row>
    <row r="353" spans="3:15" s="134" customFormat="1" ht="12.75">
      <c r="C353" s="93"/>
      <c r="D353" s="136"/>
      <c r="E353" s="4" t="str">
        <f>Translations!$B$204</f>
        <v>Nitric acid</v>
      </c>
      <c r="F353" s="4"/>
      <c r="G353" s="36"/>
      <c r="H353" s="135"/>
      <c r="I353" s="135"/>
      <c r="M353" s="3"/>
      <c r="N353" s="3"/>
      <c r="O353" s="3"/>
    </row>
    <row r="354" spans="3:15" s="134" customFormat="1" ht="12.75">
      <c r="C354" s="93"/>
      <c r="D354" s="136"/>
      <c r="E354" s="4" t="str">
        <f>Translations!$B$205</f>
        <v>Adipic acid</v>
      </c>
      <c r="F354" s="4"/>
      <c r="G354" s="36"/>
      <c r="H354" s="135"/>
      <c r="I354" s="135"/>
      <c r="M354" s="3"/>
      <c r="N354" s="3"/>
      <c r="O354" s="3"/>
    </row>
    <row r="355" spans="3:15" s="134" customFormat="1" ht="12.75">
      <c r="C355" s="93"/>
      <c r="D355" s="136"/>
      <c r="E355" s="4" t="str">
        <f>Translations!$B$206</f>
        <v>Ammonia</v>
      </c>
      <c r="F355" s="4"/>
      <c r="G355" s="36"/>
      <c r="H355" s="135"/>
      <c r="I355" s="135"/>
      <c r="M355" s="3"/>
      <c r="N355" s="3"/>
      <c r="O355" s="3"/>
    </row>
    <row r="356" spans="3:15" s="134" customFormat="1" ht="12.75">
      <c r="C356" s="93"/>
      <c r="D356" s="136"/>
      <c r="E356" s="4" t="str">
        <f>Translations!$B$207</f>
        <v>Steam cracking</v>
      </c>
      <c r="F356" s="4"/>
      <c r="G356" s="36"/>
      <c r="H356" s="135"/>
      <c r="I356" s="135"/>
      <c r="M356" s="3"/>
      <c r="N356" s="3"/>
      <c r="O356" s="3"/>
    </row>
    <row r="357" spans="3:15" s="134" customFormat="1" ht="12.75">
      <c r="C357" s="93"/>
      <c r="D357" s="136"/>
      <c r="E357" s="4" t="str">
        <f>Translations!$B$208</f>
        <v>Aromatics</v>
      </c>
      <c r="F357" s="4"/>
      <c r="G357" s="36"/>
      <c r="H357" s="135"/>
      <c r="I357" s="135"/>
      <c r="M357" s="3"/>
      <c r="N357" s="3"/>
      <c r="O357" s="3"/>
    </row>
    <row r="358" spans="3:15" s="134" customFormat="1" ht="12.75">
      <c r="C358" s="93"/>
      <c r="D358" s="136"/>
      <c r="E358" s="4" t="str">
        <f>Translations!$B$209</f>
        <v>Styrene</v>
      </c>
      <c r="F358" s="4"/>
      <c r="G358" s="36"/>
      <c r="H358" s="135"/>
      <c r="I358" s="135"/>
      <c r="M358" s="3"/>
      <c r="N358" s="3"/>
      <c r="O358" s="3"/>
    </row>
    <row r="359" spans="3:15" s="134" customFormat="1" ht="12.75">
      <c r="C359" s="93"/>
      <c r="D359" s="136"/>
      <c r="E359" s="4" t="str">
        <f>Translations!$B$210</f>
        <v>Phenol/ acetone</v>
      </c>
      <c r="F359" s="4"/>
      <c r="G359" s="36"/>
      <c r="H359" s="135"/>
      <c r="I359" s="135"/>
      <c r="M359" s="3"/>
      <c r="N359" s="3"/>
      <c r="O359" s="3"/>
    </row>
    <row r="360" spans="3:15" s="134" customFormat="1" ht="12.75">
      <c r="C360" s="93"/>
      <c r="D360" s="136"/>
      <c r="E360" s="4" t="str">
        <f>Translations!$B$211</f>
        <v>Ethylene oxide/ ethylene glycols</v>
      </c>
      <c r="F360" s="4"/>
      <c r="G360" s="36"/>
      <c r="H360" s="135"/>
      <c r="I360" s="135"/>
      <c r="M360" s="3"/>
      <c r="N360" s="3"/>
      <c r="O360" s="3"/>
    </row>
    <row r="361" spans="3:15" s="134" customFormat="1" ht="12.75">
      <c r="C361" s="93"/>
      <c r="D361" s="136"/>
      <c r="E361" s="4" t="str">
        <f>Translations!$B$212</f>
        <v>Vinyl chloride monomer</v>
      </c>
      <c r="F361" s="4"/>
      <c r="G361" s="36"/>
      <c r="H361" s="135"/>
      <c r="I361" s="135"/>
      <c r="M361" s="3"/>
      <c r="N361" s="3"/>
      <c r="O361" s="3"/>
    </row>
    <row r="362" spans="3:15" s="134" customFormat="1" ht="12.75">
      <c r="C362" s="93"/>
      <c r="D362" s="136"/>
      <c r="E362" s="4" t="str">
        <f>Translations!$B$213</f>
        <v>S-PVC</v>
      </c>
      <c r="F362" s="4"/>
      <c r="G362" s="36"/>
      <c r="H362" s="135"/>
      <c r="I362" s="135"/>
      <c r="M362" s="3"/>
      <c r="N362" s="3"/>
      <c r="O362" s="3"/>
    </row>
    <row r="363" spans="3:15" s="134" customFormat="1" ht="12.75">
      <c r="C363" s="93"/>
      <c r="D363" s="136"/>
      <c r="E363" s="4" t="str">
        <f>Translations!$B$214</f>
        <v>E-PVC</v>
      </c>
      <c r="F363" s="4"/>
      <c r="G363" s="36"/>
      <c r="H363" s="135"/>
      <c r="I363" s="135"/>
      <c r="M363" s="3"/>
      <c r="N363" s="3"/>
      <c r="O363" s="3"/>
    </row>
    <row r="364" spans="3:15" s="134" customFormat="1" ht="12.75">
      <c r="C364" s="93"/>
      <c r="D364" s="136"/>
      <c r="E364" s="4" t="str">
        <f>Translations!$B$215</f>
        <v>Hydrogen</v>
      </c>
      <c r="F364" s="4"/>
      <c r="G364" s="36"/>
      <c r="H364" s="135"/>
      <c r="I364" s="135"/>
      <c r="M364" s="3"/>
      <c r="N364" s="3"/>
      <c r="O364" s="3"/>
    </row>
    <row r="365" spans="3:15" s="134" customFormat="1" ht="12.75">
      <c r="C365" s="93"/>
      <c r="D365" s="136"/>
      <c r="E365" s="4" t="str">
        <f>Translations!$B$216</f>
        <v>Synthesis gas</v>
      </c>
      <c r="F365" s="4"/>
      <c r="G365" s="36"/>
      <c r="H365" s="135"/>
      <c r="I365" s="135"/>
      <c r="M365" s="3"/>
      <c r="N365" s="3"/>
      <c r="O365" s="3"/>
    </row>
    <row r="366" spans="3:15" s="134" customFormat="1" ht="12.75">
      <c r="C366" s="93"/>
      <c r="D366" s="136"/>
      <c r="E366" s="4" t="str">
        <f>Translations!$B$217</f>
        <v>Soda ash</v>
      </c>
      <c r="F366" s="4"/>
      <c r="G366" s="36"/>
      <c r="H366" s="135"/>
      <c r="I366" s="135"/>
      <c r="M366" s="3"/>
      <c r="N366" s="3"/>
      <c r="O366" s="3"/>
    </row>
    <row r="367" spans="3:15" s="134" customFormat="1" ht="12.75">
      <c r="C367" s="93"/>
      <c r="D367" s="136"/>
      <c r="E367" s="37" t="str">
        <f>Translations!$B$218</f>
        <v>Heat benchmark sub-installation, CL</v>
      </c>
      <c r="F367" s="4"/>
      <c r="G367" s="36"/>
      <c r="H367" s="135"/>
      <c r="I367" s="135"/>
      <c r="M367" s="3"/>
      <c r="N367" s="3"/>
      <c r="O367" s="3"/>
    </row>
    <row r="368" spans="3:15" s="134" customFormat="1" ht="12.75">
      <c r="C368" s="93"/>
      <c r="D368" s="136"/>
      <c r="E368" s="37" t="str">
        <f>Translations!$B$219</f>
        <v>Heat benchmark sub-installation, non-CL</v>
      </c>
      <c r="F368" s="4"/>
      <c r="G368" s="36"/>
      <c r="H368" s="135"/>
      <c r="I368" s="135"/>
      <c r="M368" s="3"/>
      <c r="N368" s="3"/>
      <c r="O368" s="3"/>
    </row>
    <row r="369" spans="3:15" s="134" customFormat="1" ht="12.75">
      <c r="C369" s="93"/>
      <c r="D369" s="136"/>
      <c r="E369" s="37" t="str">
        <f>Translations!$B$220</f>
        <v>Fuel benchmark sub-installation, CL</v>
      </c>
      <c r="F369" s="4"/>
      <c r="G369" s="36"/>
      <c r="H369" s="135"/>
      <c r="I369" s="135"/>
      <c r="M369" s="3"/>
      <c r="N369" s="3"/>
      <c r="O369" s="3"/>
    </row>
    <row r="370" spans="3:15" s="134" customFormat="1" ht="12.75">
      <c r="C370" s="93"/>
      <c r="D370" s="136"/>
      <c r="E370" s="37" t="str">
        <f>Translations!$B$221</f>
        <v>Fuel benchmark sub-installation, non-CL</v>
      </c>
      <c r="F370" s="4"/>
      <c r="G370" s="36"/>
      <c r="H370" s="135"/>
      <c r="I370" s="135"/>
      <c r="M370" s="3"/>
      <c r="N370" s="3"/>
      <c r="O370" s="3"/>
    </row>
    <row r="371" spans="3:15" s="134" customFormat="1" ht="12.75">
      <c r="C371" s="93"/>
      <c r="D371" s="136"/>
      <c r="E371" s="37" t="str">
        <f>Translations!$B$222</f>
        <v>Process emissions sub-installation, CL</v>
      </c>
      <c r="F371" s="4"/>
      <c r="G371" s="36"/>
      <c r="H371" s="135"/>
      <c r="I371" s="135"/>
      <c r="M371" s="3"/>
      <c r="N371" s="3"/>
      <c r="O371" s="3"/>
    </row>
    <row r="372" spans="3:15" s="134" customFormat="1" ht="12.75">
      <c r="C372" s="93"/>
      <c r="D372" s="136"/>
      <c r="E372" s="37" t="str">
        <f>Translations!$B$223</f>
        <v>Process emissions sub-installation, non-CL</v>
      </c>
      <c r="F372" s="4"/>
      <c r="G372" s="36"/>
      <c r="H372" s="135"/>
      <c r="I372" s="135"/>
      <c r="M372" s="3"/>
      <c r="N372" s="3"/>
      <c r="O372" s="3"/>
    </row>
    <row r="373" spans="3:15" s="134" customFormat="1" ht="12.75">
      <c r="C373" s="93"/>
      <c r="D373" s="136"/>
      <c r="E373" s="4"/>
      <c r="F373" s="4"/>
      <c r="G373" s="36"/>
      <c r="H373" s="135"/>
      <c r="I373" s="135"/>
      <c r="M373" s="3"/>
      <c r="N373" s="3"/>
      <c r="O373" s="3"/>
    </row>
    <row r="374" spans="1:17" ht="12.75">
      <c r="A374" s="131" t="s">
        <v>164</v>
      </c>
      <c r="B374" s="132" t="s">
        <v>164</v>
      </c>
      <c r="C374" s="132" t="s">
        <v>164</v>
      </c>
      <c r="D374" s="132" t="s">
        <v>164</v>
      </c>
      <c r="E374" s="132" t="s">
        <v>164</v>
      </c>
      <c r="F374" s="132" t="s">
        <v>164</v>
      </c>
      <c r="G374" s="132" t="s">
        <v>164</v>
      </c>
      <c r="H374" s="132" t="s">
        <v>164</v>
      </c>
      <c r="I374" s="132" t="s">
        <v>164</v>
      </c>
      <c r="J374" s="132" t="s">
        <v>164</v>
      </c>
      <c r="K374" s="132" t="s">
        <v>164</v>
      </c>
      <c r="L374" s="132" t="s">
        <v>164</v>
      </c>
      <c r="M374" s="132" t="s">
        <v>164</v>
      </c>
      <c r="N374" s="132" t="s">
        <v>164</v>
      </c>
      <c r="O374" s="132" t="s">
        <v>164</v>
      </c>
      <c r="P374" s="132" t="s">
        <v>164</v>
      </c>
      <c r="Q374" s="132" t="s">
        <v>164</v>
      </c>
    </row>
  </sheetData>
  <sheetProtection sheet="1" objects="1" scenarios="1" formatCells="0" formatColumns="0" formatRows="0"/>
  <printOptions/>
  <pageMargins left="0.787401575" right="0.787401575" top="0.984251969" bottom="0.984251969" header="0.4921259845" footer="0.4921259845"/>
  <pageSetup fitToHeight="4" fitToWidth="1" horizontalDpi="600" verticalDpi="600" orientation="portrait" paperSize="9" scale="22"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tool for New Entrant applications under the EU ETS</dc:title>
  <dc:subject/>
  <dc:creator>Heller Christian</dc:creator>
  <cp:keywords/>
  <dc:description>Template developed by Umweltbundesamt GmbH (Austria) for DG CLIMA
Authors: Christian Heller / H. Fallmann</dc:description>
  <cp:lastModifiedBy>Heller</cp:lastModifiedBy>
  <cp:lastPrinted>2012-06-06T09:36:33Z</cp:lastPrinted>
  <dcterms:created xsi:type="dcterms:W3CDTF">2008-05-26T08:52:55Z</dcterms:created>
  <dcterms:modified xsi:type="dcterms:W3CDTF">2015-02-07T18:15:13Z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